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2022\Quarterly MSip Stats 2022\"/>
    </mc:Choice>
  </mc:AlternateContent>
  <xr:revisionPtr revIDLastSave="0" documentId="13_ncr:1_{B10E217B-9A5B-4793-8C2D-2A0CBBF3DA4C}" xr6:coauthVersionLast="47" xr6:coauthVersionMax="47" xr10:uidLastSave="{00000000-0000-0000-0000-000000000000}"/>
  <bookViews>
    <workbookView xWindow="-120" yWindow="-120" windowWidth="19440" windowHeight="14040" tabRatio="890" xr2:uid="{00000000-000D-0000-FFFF-FFFF00000000}"/>
  </bookViews>
  <sheets>
    <sheet name="Assoc 1.4.22-30.6.22" sheetId="16" r:id="rId1"/>
    <sheet name="Assoc 1.2.21-31.3.22" sheetId="15" r:id="rId2"/>
    <sheet name="Assoc 1.4.21-31.12.31" sheetId="14" r:id="rId3"/>
    <sheet name="Assoc 1.4.21-30.9.21" sheetId="13" r:id="rId4"/>
    <sheet name="Assoc Stats 1.4.21-30.06.21" sheetId="12" r:id="rId5"/>
    <sheet name="Assoc Stats 1.4.20-31.03.21" sheetId="11" r:id="rId6"/>
    <sheet name="Assoc Stats 1.4.20-31.12.20" sheetId="10" r:id="rId7"/>
    <sheet name="Assoc Stats 1.4.20-30.09.20" sheetId="8" r:id="rId8"/>
    <sheet name="Assoc Stats 1.4.20-16.6.20" sheetId="9" r:id="rId9"/>
    <sheet name="NOTES" sheetId="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52" i="9" l="1"/>
  <c r="AD44" i="9"/>
  <c r="AD30" i="9"/>
  <c r="AC52" i="9"/>
  <c r="AC34" i="12"/>
  <c r="AE50" i="16" l="1"/>
  <c r="AD50" i="16"/>
  <c r="AC50" i="16"/>
  <c r="Z50" i="16"/>
  <c r="AE36" i="16"/>
  <c r="AD36" i="16"/>
  <c r="AE30" i="16"/>
  <c r="AD30" i="16"/>
  <c r="AC30" i="16"/>
  <c r="AA30" i="16"/>
  <c r="Z30" i="16"/>
  <c r="Z52" i="16" l="1"/>
  <c r="E50" i="16"/>
  <c r="E52" i="16" s="1"/>
  <c r="E44" i="16"/>
  <c r="E36" i="16"/>
  <c r="E30" i="16"/>
  <c r="A50" i="16"/>
  <c r="B44" i="16"/>
  <c r="B50" i="16" s="1"/>
  <c r="B52" i="16" s="1"/>
  <c r="A44" i="16"/>
  <c r="B36" i="16"/>
  <c r="A36" i="16"/>
  <c r="B30" i="16"/>
  <c r="A30" i="16"/>
  <c r="AB52" i="16"/>
  <c r="AA50" i="16"/>
  <c r="T50" i="16"/>
  <c r="T52" i="16" s="1"/>
  <c r="M48" i="16"/>
  <c r="N48" i="16" s="1"/>
  <c r="K48" i="16"/>
  <c r="L48" i="16" s="1"/>
  <c r="M46" i="16"/>
  <c r="N46" i="16" s="1"/>
  <c r="K46" i="16"/>
  <c r="L46" i="16" s="1"/>
  <c r="AE44" i="16"/>
  <c r="AD44" i="16"/>
  <c r="AC44" i="16"/>
  <c r="AA44" i="16"/>
  <c r="Z44" i="16"/>
  <c r="X44" i="16"/>
  <c r="X50" i="16" s="1"/>
  <c r="V44" i="16"/>
  <c r="V50" i="16" s="1"/>
  <c r="V52" i="16" s="1"/>
  <c r="U44" i="16"/>
  <c r="U50" i="16" s="1"/>
  <c r="T44" i="16"/>
  <c r="S44" i="16"/>
  <c r="S50" i="16" s="1"/>
  <c r="Q44" i="16"/>
  <c r="Q50" i="16" s="1"/>
  <c r="P44" i="16"/>
  <c r="P50" i="16" s="1"/>
  <c r="I44" i="16"/>
  <c r="I50" i="16" s="1"/>
  <c r="H44" i="16"/>
  <c r="H50" i="16" s="1"/>
  <c r="F44" i="16"/>
  <c r="F50" i="16" s="1"/>
  <c r="M43" i="16"/>
  <c r="N43" i="16" s="1"/>
  <c r="K43" i="16"/>
  <c r="L43" i="16" s="1"/>
  <c r="M42" i="16"/>
  <c r="N42" i="16" s="1"/>
  <c r="K42" i="16"/>
  <c r="L42" i="16" s="1"/>
  <c r="M40" i="16"/>
  <c r="N40" i="16" s="1"/>
  <c r="K40" i="16"/>
  <c r="L40" i="16" s="1"/>
  <c r="M38" i="16"/>
  <c r="N38" i="16" s="1"/>
  <c r="K38" i="16"/>
  <c r="L38" i="16" s="1"/>
  <c r="AC36" i="16"/>
  <c r="AA36" i="16"/>
  <c r="Z36" i="16"/>
  <c r="X36" i="16"/>
  <c r="V36" i="16"/>
  <c r="U36" i="16"/>
  <c r="T36" i="16"/>
  <c r="S36" i="16"/>
  <c r="Q36" i="16"/>
  <c r="P36" i="16"/>
  <c r="I36" i="16"/>
  <c r="H36" i="16"/>
  <c r="F36" i="16"/>
  <c r="M35" i="16"/>
  <c r="K35" i="16"/>
  <c r="L35" i="16" s="1"/>
  <c r="M34" i="16"/>
  <c r="N34" i="16" s="1"/>
  <c r="K34" i="16"/>
  <c r="L34" i="16" s="1"/>
  <c r="M33" i="16"/>
  <c r="N33" i="16" s="1"/>
  <c r="K33" i="16"/>
  <c r="M32" i="16"/>
  <c r="K32" i="16"/>
  <c r="L32" i="16" s="1"/>
  <c r="X30" i="16"/>
  <c r="V30" i="16"/>
  <c r="U30" i="16"/>
  <c r="T30" i="16"/>
  <c r="S30" i="16"/>
  <c r="Q30" i="16"/>
  <c r="P30" i="16"/>
  <c r="I30" i="16"/>
  <c r="H30" i="16"/>
  <c r="F30" i="16"/>
  <c r="M28" i="16"/>
  <c r="N28" i="16" s="1"/>
  <c r="K28" i="16"/>
  <c r="L28" i="16" s="1"/>
  <c r="M26" i="16"/>
  <c r="N26" i="16" s="1"/>
  <c r="K26" i="16"/>
  <c r="L26" i="16" s="1"/>
  <c r="M24" i="16"/>
  <c r="N24" i="16" s="1"/>
  <c r="K24" i="16"/>
  <c r="L24" i="16" s="1"/>
  <c r="M23" i="16"/>
  <c r="N23" i="16" s="1"/>
  <c r="K23" i="16"/>
  <c r="L23" i="16" s="1"/>
  <c r="M22" i="16"/>
  <c r="N22" i="16" s="1"/>
  <c r="K22" i="16"/>
  <c r="L22" i="16" s="1"/>
  <c r="M21" i="16"/>
  <c r="N21" i="16" s="1"/>
  <c r="K21" i="16"/>
  <c r="L21" i="16" s="1"/>
  <c r="M20" i="16"/>
  <c r="N20" i="16" s="1"/>
  <c r="K20" i="16"/>
  <c r="L20" i="16" s="1"/>
  <c r="M19" i="16"/>
  <c r="N19" i="16" s="1"/>
  <c r="K19" i="16"/>
  <c r="L19" i="16" s="1"/>
  <c r="M18" i="16"/>
  <c r="N18" i="16" s="1"/>
  <c r="K18" i="16"/>
  <c r="L18" i="16" s="1"/>
  <c r="M17" i="16"/>
  <c r="N17" i="16" s="1"/>
  <c r="K17" i="16"/>
  <c r="L17" i="16" s="1"/>
  <c r="M16" i="16"/>
  <c r="N16" i="16" s="1"/>
  <c r="K16" i="16"/>
  <c r="L16" i="16" s="1"/>
  <c r="M15" i="16"/>
  <c r="N15" i="16" s="1"/>
  <c r="K15" i="16"/>
  <c r="L15" i="16" s="1"/>
  <c r="M14" i="16"/>
  <c r="N14" i="16" s="1"/>
  <c r="K14" i="16"/>
  <c r="L14" i="16" s="1"/>
  <c r="M13" i="16"/>
  <c r="N13" i="16" s="1"/>
  <c r="K13" i="16"/>
  <c r="L13" i="16" s="1"/>
  <c r="M12" i="16"/>
  <c r="N12" i="16" s="1"/>
  <c r="K12" i="16"/>
  <c r="L12" i="16" s="1"/>
  <c r="M11" i="16"/>
  <c r="N11" i="16" s="1"/>
  <c r="K11" i="16"/>
  <c r="L11" i="16" s="1"/>
  <c r="M10" i="16"/>
  <c r="N10" i="16" s="1"/>
  <c r="K10" i="16"/>
  <c r="L10" i="16" s="1"/>
  <c r="M9" i="16"/>
  <c r="N9" i="16" s="1"/>
  <c r="K9" i="16"/>
  <c r="L9" i="16" s="1"/>
  <c r="M8" i="16"/>
  <c r="N8" i="16" s="1"/>
  <c r="K8" i="16"/>
  <c r="L8" i="16" s="1"/>
  <c r="M7" i="16"/>
  <c r="N7" i="16" s="1"/>
  <c r="K7" i="16"/>
  <c r="L7" i="16" s="1"/>
  <c r="M6" i="16"/>
  <c r="N6" i="16" s="1"/>
  <c r="K6" i="16"/>
  <c r="L6" i="16" s="1"/>
  <c r="AE50" i="15"/>
  <c r="AD50" i="15"/>
  <c r="AC50" i="15"/>
  <c r="AA50" i="15"/>
  <c r="Z50" i="15"/>
  <c r="AE30" i="15"/>
  <c r="AD30" i="15"/>
  <c r="AC30" i="15"/>
  <c r="AA30" i="15"/>
  <c r="Z30" i="15"/>
  <c r="H30" i="15"/>
  <c r="AB52" i="15"/>
  <c r="H50" i="15"/>
  <c r="E50" i="15"/>
  <c r="E52" i="15" s="1"/>
  <c r="M48" i="15"/>
  <c r="N48" i="15" s="1"/>
  <c r="K48" i="15"/>
  <c r="L48" i="15" s="1"/>
  <c r="M46" i="15"/>
  <c r="N46" i="15" s="1"/>
  <c r="K46" i="15"/>
  <c r="L46" i="15" s="1"/>
  <c r="AE44" i="15"/>
  <c r="AD44" i="15"/>
  <c r="AC44" i="15"/>
  <c r="AA44" i="15"/>
  <c r="Z44" i="15"/>
  <c r="X44" i="15"/>
  <c r="X50" i="15" s="1"/>
  <c r="V44" i="15"/>
  <c r="V50" i="15" s="1"/>
  <c r="V52" i="15" s="1"/>
  <c r="U44" i="15"/>
  <c r="U50" i="15" s="1"/>
  <c r="T44" i="15"/>
  <c r="T50" i="15" s="1"/>
  <c r="T52" i="15" s="1"/>
  <c r="S44" i="15"/>
  <c r="S50" i="15" s="1"/>
  <c r="Q44" i="15"/>
  <c r="Q50" i="15" s="1"/>
  <c r="P44" i="15"/>
  <c r="P50" i="15" s="1"/>
  <c r="I44" i="15"/>
  <c r="I50" i="15" s="1"/>
  <c r="H44" i="15"/>
  <c r="F44" i="15"/>
  <c r="F50" i="15" s="1"/>
  <c r="E44" i="15"/>
  <c r="B44" i="15"/>
  <c r="B50" i="15" s="1"/>
  <c r="B52" i="15" s="1"/>
  <c r="A44" i="15"/>
  <c r="M43" i="15"/>
  <c r="N43" i="15" s="1"/>
  <c r="K43" i="15"/>
  <c r="L43" i="15" s="1"/>
  <c r="M42" i="15"/>
  <c r="N42" i="15" s="1"/>
  <c r="K42" i="15"/>
  <c r="L42" i="15" s="1"/>
  <c r="M40" i="15"/>
  <c r="N40" i="15" s="1"/>
  <c r="K40" i="15"/>
  <c r="L40" i="15" s="1"/>
  <c r="M38" i="15"/>
  <c r="K38" i="15"/>
  <c r="L38" i="15" s="1"/>
  <c r="AE36" i="15"/>
  <c r="AD36" i="15"/>
  <c r="AC36" i="15"/>
  <c r="AA36" i="15"/>
  <c r="Z36" i="15"/>
  <c r="X36" i="15"/>
  <c r="V36" i="15"/>
  <c r="U36" i="15"/>
  <c r="T36" i="15"/>
  <c r="S36" i="15"/>
  <c r="Q36" i="15"/>
  <c r="P36" i="15"/>
  <c r="I36" i="15"/>
  <c r="H36" i="15"/>
  <c r="F36" i="15"/>
  <c r="E36" i="15"/>
  <c r="B36" i="15"/>
  <c r="A36" i="15"/>
  <c r="M35" i="15"/>
  <c r="K35" i="15"/>
  <c r="L35" i="15" s="1"/>
  <c r="M34" i="15"/>
  <c r="N34" i="15" s="1"/>
  <c r="K34" i="15"/>
  <c r="L34" i="15" s="1"/>
  <c r="M33" i="15"/>
  <c r="N33" i="15" s="1"/>
  <c r="K33" i="15"/>
  <c r="L33" i="15" s="1"/>
  <c r="M32" i="15"/>
  <c r="N32" i="15" s="1"/>
  <c r="K32" i="15"/>
  <c r="L32" i="15" s="1"/>
  <c r="X30" i="15"/>
  <c r="V30" i="15"/>
  <c r="U30" i="15"/>
  <c r="T30" i="15"/>
  <c r="S30" i="15"/>
  <c r="Q30" i="15"/>
  <c r="P30" i="15"/>
  <c r="I30" i="15"/>
  <c r="F30" i="15"/>
  <c r="E30" i="15"/>
  <c r="B30" i="15"/>
  <c r="A30" i="15"/>
  <c r="M28" i="15"/>
  <c r="N28" i="15" s="1"/>
  <c r="K28" i="15"/>
  <c r="L28" i="15" s="1"/>
  <c r="N26" i="15"/>
  <c r="M26" i="15"/>
  <c r="K26" i="15"/>
  <c r="L26" i="15" s="1"/>
  <c r="M24" i="15"/>
  <c r="N24" i="15" s="1"/>
  <c r="L24" i="15"/>
  <c r="K24" i="15"/>
  <c r="M23" i="15"/>
  <c r="N23" i="15" s="1"/>
  <c r="K23" i="15"/>
  <c r="L23" i="15" s="1"/>
  <c r="M22" i="15"/>
  <c r="N22" i="15" s="1"/>
  <c r="K22" i="15"/>
  <c r="L22" i="15" s="1"/>
  <c r="M21" i="15"/>
  <c r="N21" i="15" s="1"/>
  <c r="K21" i="15"/>
  <c r="L21" i="15" s="1"/>
  <c r="M20" i="15"/>
  <c r="N20" i="15" s="1"/>
  <c r="L20" i="15"/>
  <c r="K20" i="15"/>
  <c r="M19" i="15"/>
  <c r="N19" i="15" s="1"/>
  <c r="K19" i="15"/>
  <c r="L19" i="15" s="1"/>
  <c r="M18" i="15"/>
  <c r="N18" i="15" s="1"/>
  <c r="K18" i="15"/>
  <c r="L18" i="15" s="1"/>
  <c r="M17" i="15"/>
  <c r="N17" i="15" s="1"/>
  <c r="K17" i="15"/>
  <c r="L17" i="15" s="1"/>
  <c r="M16" i="15"/>
  <c r="N16" i="15" s="1"/>
  <c r="K16" i="15"/>
  <c r="L16" i="15" s="1"/>
  <c r="M15" i="15"/>
  <c r="N15" i="15" s="1"/>
  <c r="K15" i="15"/>
  <c r="L15" i="15" s="1"/>
  <c r="M14" i="15"/>
  <c r="N14" i="15" s="1"/>
  <c r="K14" i="15"/>
  <c r="L14" i="15" s="1"/>
  <c r="M13" i="15"/>
  <c r="N13" i="15" s="1"/>
  <c r="K13" i="15"/>
  <c r="L13" i="15" s="1"/>
  <c r="M12" i="15"/>
  <c r="N12" i="15" s="1"/>
  <c r="K12" i="15"/>
  <c r="L12" i="15" s="1"/>
  <c r="M11" i="15"/>
  <c r="N11" i="15" s="1"/>
  <c r="K11" i="15"/>
  <c r="L11" i="15" s="1"/>
  <c r="M10" i="15"/>
  <c r="N10" i="15" s="1"/>
  <c r="K10" i="15"/>
  <c r="L10" i="15" s="1"/>
  <c r="M9" i="15"/>
  <c r="N9" i="15" s="1"/>
  <c r="K9" i="15"/>
  <c r="L9" i="15" s="1"/>
  <c r="M8" i="15"/>
  <c r="N8" i="15" s="1"/>
  <c r="K8" i="15"/>
  <c r="L8" i="15" s="1"/>
  <c r="M7" i="15"/>
  <c r="N7" i="15" s="1"/>
  <c r="K7" i="15"/>
  <c r="L7" i="15" s="1"/>
  <c r="M6" i="15"/>
  <c r="N6" i="15" s="1"/>
  <c r="K6" i="15"/>
  <c r="L6" i="15" s="1"/>
  <c r="AE52" i="14"/>
  <c r="AE50" i="14"/>
  <c r="AE30" i="14"/>
  <c r="AC36" i="14"/>
  <c r="AC30" i="14"/>
  <c r="AD30" i="14"/>
  <c r="AC52" i="14"/>
  <c r="AC50" i="14"/>
  <c r="AA52" i="14"/>
  <c r="AA50" i="14"/>
  <c r="AA30" i="14"/>
  <c r="Z30" i="14"/>
  <c r="Z52" i="14"/>
  <c r="Z50" i="14"/>
  <c r="Z36" i="14"/>
  <c r="K36" i="14"/>
  <c r="AB52" i="14"/>
  <c r="AD50" i="14"/>
  <c r="U50" i="14"/>
  <c r="B50" i="14"/>
  <c r="B52" i="14" s="1"/>
  <c r="M48" i="14"/>
  <c r="N48" i="14" s="1"/>
  <c r="K48" i="14"/>
  <c r="L48" i="14" s="1"/>
  <c r="M46" i="14"/>
  <c r="N46" i="14" s="1"/>
  <c r="K46" i="14"/>
  <c r="L46" i="14" s="1"/>
  <c r="AE44" i="14"/>
  <c r="AD44" i="14"/>
  <c r="AC44" i="14"/>
  <c r="AA44" i="14"/>
  <c r="Z44" i="14"/>
  <c r="X44" i="14"/>
  <c r="X50" i="14" s="1"/>
  <c r="V44" i="14"/>
  <c r="V50" i="14" s="1"/>
  <c r="V52" i="14" s="1"/>
  <c r="U44" i="14"/>
  <c r="T44" i="14"/>
  <c r="T50" i="14" s="1"/>
  <c r="T52" i="14" s="1"/>
  <c r="S44" i="14"/>
  <c r="S50" i="14" s="1"/>
  <c r="Q44" i="14"/>
  <c r="Q50" i="14" s="1"/>
  <c r="P44" i="14"/>
  <c r="P50" i="14" s="1"/>
  <c r="I44" i="14"/>
  <c r="I50" i="14" s="1"/>
  <c r="H44" i="14"/>
  <c r="K44" i="14" s="1"/>
  <c r="L44" i="14" s="1"/>
  <c r="F44" i="14"/>
  <c r="F50" i="14" s="1"/>
  <c r="E44" i="14"/>
  <c r="E50" i="14" s="1"/>
  <c r="E52" i="14" s="1"/>
  <c r="B44" i="14"/>
  <c r="A44" i="14"/>
  <c r="A50" i="14" s="1"/>
  <c r="A52" i="14" s="1"/>
  <c r="M43" i="14"/>
  <c r="N43" i="14" s="1"/>
  <c r="K43" i="14"/>
  <c r="L43" i="14" s="1"/>
  <c r="M42" i="14"/>
  <c r="N42" i="14" s="1"/>
  <c r="K42" i="14"/>
  <c r="L42" i="14" s="1"/>
  <c r="M40" i="14"/>
  <c r="N40" i="14" s="1"/>
  <c r="K40" i="14"/>
  <c r="L40" i="14" s="1"/>
  <c r="M38" i="14"/>
  <c r="K38" i="14"/>
  <c r="L38" i="14" s="1"/>
  <c r="AE36" i="14"/>
  <c r="AD36" i="14"/>
  <c r="AA36" i="14"/>
  <c r="X36" i="14"/>
  <c r="V36" i="14"/>
  <c r="U36" i="14"/>
  <c r="T36" i="14"/>
  <c r="S36" i="14"/>
  <c r="Q36" i="14"/>
  <c r="P36" i="14"/>
  <c r="I36" i="14"/>
  <c r="H36" i="14"/>
  <c r="L36" i="14" s="1"/>
  <c r="F36" i="14"/>
  <c r="E36" i="14"/>
  <c r="B36" i="14"/>
  <c r="A36" i="14"/>
  <c r="M35" i="14"/>
  <c r="K35" i="14"/>
  <c r="L35" i="14" s="1"/>
  <c r="M34" i="14"/>
  <c r="N34" i="14" s="1"/>
  <c r="K34" i="14"/>
  <c r="L34" i="14" s="1"/>
  <c r="M33" i="14"/>
  <c r="N33" i="14" s="1"/>
  <c r="K33" i="14"/>
  <c r="L33" i="14" s="1"/>
  <c r="M32" i="14"/>
  <c r="N32" i="14" s="1"/>
  <c r="K32" i="14"/>
  <c r="L32" i="14" s="1"/>
  <c r="X30" i="14"/>
  <c r="V30" i="14"/>
  <c r="U30" i="14"/>
  <c r="T30" i="14"/>
  <c r="S30" i="14"/>
  <c r="Q30" i="14"/>
  <c r="P30" i="14"/>
  <c r="I30" i="14"/>
  <c r="H30" i="14"/>
  <c r="F30" i="14"/>
  <c r="E30" i="14"/>
  <c r="B30" i="14"/>
  <c r="A30" i="14"/>
  <c r="M28" i="14"/>
  <c r="K28" i="14"/>
  <c r="L28" i="14" s="1"/>
  <c r="M26" i="14"/>
  <c r="N26" i="14" s="1"/>
  <c r="K26" i="14"/>
  <c r="L26" i="14" s="1"/>
  <c r="M24" i="14"/>
  <c r="N24" i="14" s="1"/>
  <c r="K24" i="14"/>
  <c r="L24" i="14" s="1"/>
  <c r="M23" i="14"/>
  <c r="N23" i="14" s="1"/>
  <c r="K23" i="14"/>
  <c r="L23" i="14" s="1"/>
  <c r="M22" i="14"/>
  <c r="N22" i="14" s="1"/>
  <c r="L22" i="14"/>
  <c r="K22" i="14"/>
  <c r="M21" i="14"/>
  <c r="N21" i="14" s="1"/>
  <c r="K21" i="14"/>
  <c r="L21" i="14" s="1"/>
  <c r="M20" i="14"/>
  <c r="N20" i="14" s="1"/>
  <c r="K20" i="14"/>
  <c r="L20" i="14" s="1"/>
  <c r="M19" i="14"/>
  <c r="N19" i="14" s="1"/>
  <c r="K19" i="14"/>
  <c r="L19" i="14" s="1"/>
  <c r="M18" i="14"/>
  <c r="N18" i="14" s="1"/>
  <c r="L18" i="14"/>
  <c r="K18" i="14"/>
  <c r="M17" i="14"/>
  <c r="N17" i="14" s="1"/>
  <c r="K17" i="14"/>
  <c r="L17" i="14" s="1"/>
  <c r="M16" i="14"/>
  <c r="N16" i="14" s="1"/>
  <c r="K16" i="14"/>
  <c r="L16" i="14" s="1"/>
  <c r="M15" i="14"/>
  <c r="N15" i="14" s="1"/>
  <c r="K15" i="14"/>
  <c r="L15" i="14" s="1"/>
  <c r="M14" i="14"/>
  <c r="N14" i="14" s="1"/>
  <c r="K14" i="14"/>
  <c r="L14" i="14" s="1"/>
  <c r="M13" i="14"/>
  <c r="N13" i="14" s="1"/>
  <c r="K13" i="14"/>
  <c r="L13" i="14" s="1"/>
  <c r="M12" i="14"/>
  <c r="N12" i="14" s="1"/>
  <c r="K12" i="14"/>
  <c r="L12" i="14" s="1"/>
  <c r="M11" i="14"/>
  <c r="N11" i="14" s="1"/>
  <c r="K11" i="14"/>
  <c r="L11" i="14" s="1"/>
  <c r="M10" i="14"/>
  <c r="N10" i="14" s="1"/>
  <c r="K10" i="14"/>
  <c r="L10" i="14" s="1"/>
  <c r="M9" i="14"/>
  <c r="N9" i="14" s="1"/>
  <c r="K9" i="14"/>
  <c r="L9" i="14" s="1"/>
  <c r="M8" i="14"/>
  <c r="N8" i="14" s="1"/>
  <c r="K8" i="14"/>
  <c r="L8" i="14" s="1"/>
  <c r="M7" i="14"/>
  <c r="N7" i="14" s="1"/>
  <c r="K7" i="14"/>
  <c r="L7" i="14" s="1"/>
  <c r="M6" i="14"/>
  <c r="N6" i="14" s="1"/>
  <c r="K6" i="14"/>
  <c r="L6" i="14" s="1"/>
  <c r="AE52" i="13"/>
  <c r="AE50" i="13"/>
  <c r="AE30" i="13"/>
  <c r="AD52" i="13"/>
  <c r="AD50" i="13"/>
  <c r="AA30" i="13"/>
  <c r="AA52" i="13"/>
  <c r="Z52" i="13"/>
  <c r="B50" i="13"/>
  <c r="A50" i="13"/>
  <c r="X30" i="13"/>
  <c r="V30" i="13"/>
  <c r="U30" i="13"/>
  <c r="T30" i="13"/>
  <c r="S30" i="13"/>
  <c r="Q30" i="13"/>
  <c r="P30" i="13"/>
  <c r="I30" i="13"/>
  <c r="H30" i="13"/>
  <c r="F30" i="13"/>
  <c r="E30" i="13"/>
  <c r="B30" i="13"/>
  <c r="A30" i="13"/>
  <c r="S50" i="13"/>
  <c r="P50" i="13"/>
  <c r="H50" i="13"/>
  <c r="F50" i="13"/>
  <c r="E50" i="13"/>
  <c r="M28" i="13"/>
  <c r="N28" i="13" s="1"/>
  <c r="K28" i="13"/>
  <c r="L28" i="13" s="1"/>
  <c r="AB52" i="13"/>
  <c r="M48" i="13"/>
  <c r="N48" i="13" s="1"/>
  <c r="K48" i="13"/>
  <c r="L48" i="13" s="1"/>
  <c r="M46" i="13"/>
  <c r="N46" i="13" s="1"/>
  <c r="K46" i="13"/>
  <c r="L46" i="13" s="1"/>
  <c r="AE44" i="13"/>
  <c r="AD44" i="13"/>
  <c r="AC44" i="13"/>
  <c r="AA44" i="13"/>
  <c r="AA50" i="13" s="1"/>
  <c r="Z44" i="13"/>
  <c r="X44" i="13"/>
  <c r="X50" i="13" s="1"/>
  <c r="V44" i="13"/>
  <c r="V50" i="13" s="1"/>
  <c r="U44" i="13"/>
  <c r="U50" i="13" s="1"/>
  <c r="T44" i="13"/>
  <c r="T50" i="13" s="1"/>
  <c r="S44" i="13"/>
  <c r="Q44" i="13"/>
  <c r="Q50" i="13" s="1"/>
  <c r="P44" i="13"/>
  <c r="I44" i="13"/>
  <c r="I50" i="13" s="1"/>
  <c r="H44" i="13"/>
  <c r="F44" i="13"/>
  <c r="E44" i="13"/>
  <c r="B44" i="13"/>
  <c r="A44" i="13"/>
  <c r="M43" i="13"/>
  <c r="N43" i="13" s="1"/>
  <c r="K43" i="13"/>
  <c r="L43" i="13" s="1"/>
  <c r="M42" i="13"/>
  <c r="N42" i="13" s="1"/>
  <c r="K42" i="13"/>
  <c r="L42" i="13" s="1"/>
  <c r="M40" i="13"/>
  <c r="N40" i="13" s="1"/>
  <c r="K40" i="13"/>
  <c r="L40" i="13" s="1"/>
  <c r="M38" i="13"/>
  <c r="N38" i="13" s="1"/>
  <c r="K38" i="13"/>
  <c r="L38" i="13" s="1"/>
  <c r="AE36" i="13"/>
  <c r="AD36" i="13"/>
  <c r="AA36" i="13"/>
  <c r="X36" i="13"/>
  <c r="V36" i="13"/>
  <c r="U36" i="13"/>
  <c r="T36" i="13"/>
  <c r="S36" i="13"/>
  <c r="Q36" i="13"/>
  <c r="P36" i="13"/>
  <c r="I36" i="13"/>
  <c r="H36" i="13"/>
  <c r="F36" i="13"/>
  <c r="E36" i="13"/>
  <c r="B36" i="13"/>
  <c r="A36" i="13"/>
  <c r="M35" i="13"/>
  <c r="K35" i="13"/>
  <c r="L35" i="13" s="1"/>
  <c r="M34" i="13"/>
  <c r="N34" i="13" s="1"/>
  <c r="K34" i="13"/>
  <c r="L34" i="13" s="1"/>
  <c r="M33" i="13"/>
  <c r="N33" i="13" s="1"/>
  <c r="K33" i="13"/>
  <c r="L33" i="13" s="1"/>
  <c r="M32" i="13"/>
  <c r="K32" i="13"/>
  <c r="L32" i="13" s="1"/>
  <c r="M26" i="13"/>
  <c r="N26" i="13" s="1"/>
  <c r="K26" i="13"/>
  <c r="L26" i="13" s="1"/>
  <c r="M24" i="13"/>
  <c r="N24" i="13" s="1"/>
  <c r="K24" i="13"/>
  <c r="L24" i="13" s="1"/>
  <c r="M23" i="13"/>
  <c r="N23" i="13" s="1"/>
  <c r="K23" i="13"/>
  <c r="L23" i="13" s="1"/>
  <c r="M22" i="13"/>
  <c r="N22" i="13" s="1"/>
  <c r="K22" i="13"/>
  <c r="L22" i="13" s="1"/>
  <c r="M21" i="13"/>
  <c r="N21" i="13" s="1"/>
  <c r="K21" i="13"/>
  <c r="L21" i="13" s="1"/>
  <c r="M20" i="13"/>
  <c r="N20" i="13" s="1"/>
  <c r="K20" i="13"/>
  <c r="L20" i="13" s="1"/>
  <c r="M19" i="13"/>
  <c r="N19" i="13" s="1"/>
  <c r="K19" i="13"/>
  <c r="L19" i="13" s="1"/>
  <c r="M18" i="13"/>
  <c r="N18" i="13" s="1"/>
  <c r="K18" i="13"/>
  <c r="L18" i="13" s="1"/>
  <c r="M17" i="13"/>
  <c r="N17" i="13" s="1"/>
  <c r="K17" i="13"/>
  <c r="L17" i="13" s="1"/>
  <c r="M16" i="13"/>
  <c r="N16" i="13" s="1"/>
  <c r="K16" i="13"/>
  <c r="L16" i="13" s="1"/>
  <c r="M15" i="13"/>
  <c r="N15" i="13" s="1"/>
  <c r="K15" i="13"/>
  <c r="L15" i="13" s="1"/>
  <c r="M14" i="13"/>
  <c r="N14" i="13" s="1"/>
  <c r="K14" i="13"/>
  <c r="L14" i="13" s="1"/>
  <c r="M13" i="13"/>
  <c r="N13" i="13" s="1"/>
  <c r="K13" i="13"/>
  <c r="L13" i="13" s="1"/>
  <c r="M12" i="13"/>
  <c r="N12" i="13" s="1"/>
  <c r="K12" i="13"/>
  <c r="L12" i="13" s="1"/>
  <c r="M11" i="13"/>
  <c r="N11" i="13" s="1"/>
  <c r="K11" i="13"/>
  <c r="L11" i="13" s="1"/>
  <c r="M10" i="13"/>
  <c r="N10" i="13" s="1"/>
  <c r="K10" i="13"/>
  <c r="L10" i="13" s="1"/>
  <c r="M9" i="13"/>
  <c r="N9" i="13" s="1"/>
  <c r="K9" i="13"/>
  <c r="L9" i="13" s="1"/>
  <c r="M8" i="13"/>
  <c r="N8" i="13" s="1"/>
  <c r="K8" i="13"/>
  <c r="L8" i="13" s="1"/>
  <c r="M7" i="13"/>
  <c r="N7" i="13" s="1"/>
  <c r="K7" i="13"/>
  <c r="L7" i="13" s="1"/>
  <c r="M6" i="13"/>
  <c r="N6" i="13" s="1"/>
  <c r="K6" i="13"/>
  <c r="L6" i="13" s="1"/>
  <c r="AE52" i="12"/>
  <c r="AD52" i="12"/>
  <c r="AC52" i="12"/>
  <c r="Z52" i="12"/>
  <c r="AA52" i="12"/>
  <c r="Q34" i="12"/>
  <c r="F52" i="12"/>
  <c r="F50" i="12"/>
  <c r="F42" i="12"/>
  <c r="F34" i="12"/>
  <c r="F28" i="12"/>
  <c r="E42" i="12"/>
  <c r="E50" i="12" s="1"/>
  <c r="E34" i="12"/>
  <c r="E28" i="12"/>
  <c r="B50" i="12"/>
  <c r="B52" i="12" s="1"/>
  <c r="A50" i="12"/>
  <c r="B42" i="12"/>
  <c r="A42" i="12"/>
  <c r="B34" i="12"/>
  <c r="A34" i="12"/>
  <c r="B28" i="12"/>
  <c r="A28" i="12"/>
  <c r="AB52" i="12"/>
  <c r="AD50" i="12"/>
  <c r="AC50" i="12"/>
  <c r="AA50" i="12"/>
  <c r="Z50" i="12"/>
  <c r="M48" i="12"/>
  <c r="K48" i="12"/>
  <c r="L48" i="12" s="1"/>
  <c r="M46" i="12"/>
  <c r="N46" i="12" s="1"/>
  <c r="K46" i="12"/>
  <c r="L46" i="12" s="1"/>
  <c r="M44" i="12"/>
  <c r="N44" i="12" s="1"/>
  <c r="K44" i="12"/>
  <c r="L44" i="12" s="1"/>
  <c r="AE42" i="12"/>
  <c r="AE50" i="12" s="1"/>
  <c r="AD42" i="12"/>
  <c r="AC42" i="12"/>
  <c r="AA42" i="12"/>
  <c r="Z42" i="12"/>
  <c r="X42" i="12"/>
  <c r="X50" i="12" s="1"/>
  <c r="V42" i="12"/>
  <c r="V50" i="12" s="1"/>
  <c r="U42" i="12"/>
  <c r="U50" i="12" s="1"/>
  <c r="T42" i="12"/>
  <c r="T50" i="12" s="1"/>
  <c r="S42" i="12"/>
  <c r="S50" i="12" s="1"/>
  <c r="Q42" i="12"/>
  <c r="Q50" i="12" s="1"/>
  <c r="P42" i="12"/>
  <c r="P50" i="12" s="1"/>
  <c r="I42" i="12"/>
  <c r="I50" i="12" s="1"/>
  <c r="H42" i="12"/>
  <c r="H50" i="12" s="1"/>
  <c r="M41" i="12"/>
  <c r="N41" i="12" s="1"/>
  <c r="K41" i="12"/>
  <c r="L41" i="12" s="1"/>
  <c r="M40" i="12"/>
  <c r="N40" i="12" s="1"/>
  <c r="K40" i="12"/>
  <c r="L40" i="12" s="1"/>
  <c r="M38" i="12"/>
  <c r="N38" i="12" s="1"/>
  <c r="K38" i="12"/>
  <c r="L38" i="12" s="1"/>
  <c r="M36" i="12"/>
  <c r="N36" i="12" s="1"/>
  <c r="K36" i="12"/>
  <c r="L36" i="12" s="1"/>
  <c r="AE34" i="12"/>
  <c r="AD34" i="12"/>
  <c r="AA34" i="12"/>
  <c r="Z34" i="12"/>
  <c r="X34" i="12"/>
  <c r="V34" i="12"/>
  <c r="U34" i="12"/>
  <c r="T34" i="12"/>
  <c r="S34" i="12"/>
  <c r="P34" i="12"/>
  <c r="I34" i="12"/>
  <c r="H34" i="12"/>
  <c r="M33" i="12"/>
  <c r="K33" i="12"/>
  <c r="L33" i="12" s="1"/>
  <c r="M32" i="12"/>
  <c r="N32" i="12" s="1"/>
  <c r="K32" i="12"/>
  <c r="L32" i="12" s="1"/>
  <c r="M31" i="12"/>
  <c r="N31" i="12" s="1"/>
  <c r="K31" i="12"/>
  <c r="L31" i="12" s="1"/>
  <c r="M30" i="12"/>
  <c r="N30" i="12" s="1"/>
  <c r="K30" i="12"/>
  <c r="L30" i="12" s="1"/>
  <c r="AE28" i="12"/>
  <c r="AD28" i="12"/>
  <c r="AC28" i="12"/>
  <c r="AA28" i="12"/>
  <c r="Z28" i="12"/>
  <c r="X28" i="12"/>
  <c r="V28" i="12"/>
  <c r="U28" i="12"/>
  <c r="T28" i="12"/>
  <c r="S28" i="12"/>
  <c r="Q28" i="12"/>
  <c r="P28" i="12"/>
  <c r="I28" i="12"/>
  <c r="H28" i="12"/>
  <c r="M26" i="12"/>
  <c r="N26" i="12" s="1"/>
  <c r="K26" i="12"/>
  <c r="M24" i="12"/>
  <c r="N24" i="12" s="1"/>
  <c r="K24" i="12"/>
  <c r="L24" i="12" s="1"/>
  <c r="M23" i="12"/>
  <c r="N23" i="12" s="1"/>
  <c r="K23" i="12"/>
  <c r="L23" i="12" s="1"/>
  <c r="M22" i="12"/>
  <c r="N22" i="12" s="1"/>
  <c r="K22" i="12"/>
  <c r="L22" i="12" s="1"/>
  <c r="M21" i="12"/>
  <c r="N21" i="12" s="1"/>
  <c r="K21" i="12"/>
  <c r="L21" i="12" s="1"/>
  <c r="M20" i="12"/>
  <c r="N20" i="12" s="1"/>
  <c r="K20" i="12"/>
  <c r="L20" i="12" s="1"/>
  <c r="M19" i="12"/>
  <c r="N19" i="12" s="1"/>
  <c r="K19" i="12"/>
  <c r="L19" i="12" s="1"/>
  <c r="M18" i="12"/>
  <c r="N18" i="12" s="1"/>
  <c r="K18" i="12"/>
  <c r="L18" i="12" s="1"/>
  <c r="M17" i="12"/>
  <c r="N17" i="12" s="1"/>
  <c r="K17" i="12"/>
  <c r="L17" i="12" s="1"/>
  <c r="M16" i="12"/>
  <c r="N16" i="12" s="1"/>
  <c r="K16" i="12"/>
  <c r="L16" i="12" s="1"/>
  <c r="M15" i="12"/>
  <c r="N15" i="12" s="1"/>
  <c r="K15" i="12"/>
  <c r="L15" i="12" s="1"/>
  <c r="M14" i="12"/>
  <c r="N14" i="12" s="1"/>
  <c r="K14" i="12"/>
  <c r="L14" i="12" s="1"/>
  <c r="M13" i="12"/>
  <c r="N13" i="12" s="1"/>
  <c r="K13" i="12"/>
  <c r="L13" i="12" s="1"/>
  <c r="M12" i="12"/>
  <c r="N12" i="12" s="1"/>
  <c r="K12" i="12"/>
  <c r="L12" i="12" s="1"/>
  <c r="M11" i="12"/>
  <c r="N11" i="12" s="1"/>
  <c r="K11" i="12"/>
  <c r="L11" i="12" s="1"/>
  <c r="M10" i="12"/>
  <c r="N10" i="12" s="1"/>
  <c r="K10" i="12"/>
  <c r="L10" i="12" s="1"/>
  <c r="M9" i="12"/>
  <c r="N9" i="12" s="1"/>
  <c r="K9" i="12"/>
  <c r="L9" i="12" s="1"/>
  <c r="M8" i="12"/>
  <c r="N8" i="12" s="1"/>
  <c r="K8" i="12"/>
  <c r="L8" i="12" s="1"/>
  <c r="M7" i="12"/>
  <c r="N7" i="12" s="1"/>
  <c r="K7" i="12"/>
  <c r="L7" i="12" s="1"/>
  <c r="M6" i="12"/>
  <c r="K6" i="12"/>
  <c r="L6" i="12" s="1"/>
  <c r="AE28" i="11"/>
  <c r="AD28" i="11"/>
  <c r="AC28" i="11"/>
  <c r="AB52" i="10"/>
  <c r="AE50" i="10"/>
  <c r="AE52" i="10" s="1"/>
  <c r="AD50" i="10"/>
  <c r="AD52" i="10" s="1"/>
  <c r="AC50" i="10"/>
  <c r="AC52" i="10" s="1"/>
  <c r="AA50" i="10"/>
  <c r="Z50" i="10"/>
  <c r="X50" i="10"/>
  <c r="X52" i="10" s="1"/>
  <c r="T50" i="10"/>
  <c r="T52" i="10" s="1"/>
  <c r="S50" i="10"/>
  <c r="S52" i="10" s="1"/>
  <c r="Q50" i="10"/>
  <c r="Q52" i="10" s="1"/>
  <c r="I50" i="10"/>
  <c r="I52" i="10" s="1"/>
  <c r="H50" i="10"/>
  <c r="H52" i="10" s="1"/>
  <c r="F50" i="10"/>
  <c r="F52" i="10" s="1"/>
  <c r="A50" i="10"/>
  <c r="A52" i="10" s="1"/>
  <c r="N48" i="10"/>
  <c r="M48" i="10"/>
  <c r="L48" i="10"/>
  <c r="K48" i="10"/>
  <c r="M46" i="10"/>
  <c r="N46" i="10" s="1"/>
  <c r="K46" i="10"/>
  <c r="L46" i="10" s="1"/>
  <c r="N44" i="10"/>
  <c r="M44" i="10"/>
  <c r="L44" i="10"/>
  <c r="K44" i="10"/>
  <c r="AE42" i="10"/>
  <c r="AD42" i="10"/>
  <c r="AC42" i="10"/>
  <c r="AA42" i="10"/>
  <c r="Z42" i="10"/>
  <c r="X42" i="10"/>
  <c r="V42" i="10"/>
  <c r="V50" i="10" s="1"/>
  <c r="V52" i="10" s="1"/>
  <c r="U42" i="10"/>
  <c r="U50" i="10" s="1"/>
  <c r="U52" i="10" s="1"/>
  <c r="T42" i="10"/>
  <c r="S42" i="10"/>
  <c r="Q42" i="10"/>
  <c r="P42" i="10"/>
  <c r="P50" i="10" s="1"/>
  <c r="P52" i="10" s="1"/>
  <c r="L42" i="10"/>
  <c r="K42" i="10"/>
  <c r="I42" i="10"/>
  <c r="H42" i="10"/>
  <c r="F42" i="10"/>
  <c r="E42" i="10"/>
  <c r="E50" i="10" s="1"/>
  <c r="E52" i="10" s="1"/>
  <c r="B42" i="10"/>
  <c r="B50" i="10" s="1"/>
  <c r="B52" i="10" s="1"/>
  <c r="A42" i="10"/>
  <c r="M42" i="10" s="1"/>
  <c r="M50" i="10" s="1"/>
  <c r="M52" i="10" s="1"/>
  <c r="N41" i="10"/>
  <c r="M41" i="10"/>
  <c r="K41" i="10"/>
  <c r="L41" i="10" s="1"/>
  <c r="M40" i="10"/>
  <c r="N40" i="10" s="1"/>
  <c r="L40" i="10"/>
  <c r="K40" i="10"/>
  <c r="N38" i="10"/>
  <c r="M38" i="10"/>
  <c r="K38" i="10"/>
  <c r="L38" i="10" s="1"/>
  <c r="M36" i="10"/>
  <c r="N36" i="10" s="1"/>
  <c r="L36" i="10"/>
  <c r="K36" i="10"/>
  <c r="AE34" i="10"/>
  <c r="AD34" i="10"/>
  <c r="AC34" i="10"/>
  <c r="AA34" i="10"/>
  <c r="Z34" i="10"/>
  <c r="Z52" i="10" s="1"/>
  <c r="X34" i="10"/>
  <c r="V34" i="10"/>
  <c r="U34" i="10"/>
  <c r="T34" i="10"/>
  <c r="S34" i="10"/>
  <c r="Q34" i="10"/>
  <c r="P34" i="10"/>
  <c r="M34" i="10"/>
  <c r="I34" i="10"/>
  <c r="H34" i="10"/>
  <c r="N34" i="10" s="1"/>
  <c r="F34" i="10"/>
  <c r="E34" i="10"/>
  <c r="B34" i="10"/>
  <c r="A34" i="10"/>
  <c r="M33" i="10"/>
  <c r="K33" i="10"/>
  <c r="L33" i="10" s="1"/>
  <c r="N32" i="10"/>
  <c r="M32" i="10"/>
  <c r="L32" i="10"/>
  <c r="K32" i="10"/>
  <c r="N31" i="10"/>
  <c r="M31" i="10"/>
  <c r="K31" i="10"/>
  <c r="L31" i="10" s="1"/>
  <c r="N30" i="10"/>
  <c r="M30" i="10"/>
  <c r="L30" i="10"/>
  <c r="K30" i="10"/>
  <c r="AE28" i="10"/>
  <c r="AD28" i="10"/>
  <c r="AC28" i="10"/>
  <c r="AA28" i="10"/>
  <c r="AA52" i="10" s="1"/>
  <c r="Z28" i="10"/>
  <c r="X28" i="10"/>
  <c r="V28" i="10"/>
  <c r="U28" i="10"/>
  <c r="T28" i="10"/>
  <c r="S28" i="10"/>
  <c r="Q28" i="10"/>
  <c r="P28" i="10"/>
  <c r="I28" i="10"/>
  <c r="H28" i="10"/>
  <c r="F28" i="10"/>
  <c r="E28" i="10"/>
  <c r="B28" i="10"/>
  <c r="A28" i="10"/>
  <c r="N26" i="10"/>
  <c r="M26" i="10"/>
  <c r="L26" i="10"/>
  <c r="K26" i="10"/>
  <c r="K28" i="10" s="1"/>
  <c r="L28" i="10" s="1"/>
  <c r="B26" i="10"/>
  <c r="M24" i="10"/>
  <c r="N24" i="10" s="1"/>
  <c r="L24" i="10"/>
  <c r="K24" i="10"/>
  <c r="M23" i="10"/>
  <c r="N23" i="10" s="1"/>
  <c r="L23" i="10"/>
  <c r="K23" i="10"/>
  <c r="M22" i="10"/>
  <c r="N22" i="10" s="1"/>
  <c r="L22" i="10"/>
  <c r="K22" i="10"/>
  <c r="M21" i="10"/>
  <c r="N21" i="10" s="1"/>
  <c r="L21" i="10"/>
  <c r="K21" i="10"/>
  <c r="M20" i="10"/>
  <c r="N20" i="10" s="1"/>
  <c r="L20" i="10"/>
  <c r="K20" i="10"/>
  <c r="M19" i="10"/>
  <c r="N19" i="10" s="1"/>
  <c r="L19" i="10"/>
  <c r="K19" i="10"/>
  <c r="M18" i="10"/>
  <c r="N18" i="10" s="1"/>
  <c r="L18" i="10"/>
  <c r="K18" i="10"/>
  <c r="M17" i="10"/>
  <c r="N17" i="10" s="1"/>
  <c r="L17" i="10"/>
  <c r="K17" i="10"/>
  <c r="M16" i="10"/>
  <c r="N16" i="10" s="1"/>
  <c r="L16" i="10"/>
  <c r="K16" i="10"/>
  <c r="M15" i="10"/>
  <c r="N15" i="10" s="1"/>
  <c r="L15" i="10"/>
  <c r="K15" i="10"/>
  <c r="M14" i="10"/>
  <c r="N14" i="10" s="1"/>
  <c r="L14" i="10"/>
  <c r="K14" i="10"/>
  <c r="M13" i="10"/>
  <c r="N13" i="10" s="1"/>
  <c r="L13" i="10"/>
  <c r="K13" i="10"/>
  <c r="M12" i="10"/>
  <c r="N12" i="10" s="1"/>
  <c r="L12" i="10"/>
  <c r="K12" i="10"/>
  <c r="M11" i="10"/>
  <c r="N11" i="10" s="1"/>
  <c r="L11" i="10"/>
  <c r="K11" i="10"/>
  <c r="M10" i="10"/>
  <c r="N10" i="10" s="1"/>
  <c r="L10" i="10"/>
  <c r="K10" i="10"/>
  <c r="M9" i="10"/>
  <c r="N9" i="10" s="1"/>
  <c r="L9" i="10"/>
  <c r="K9" i="10"/>
  <c r="M8" i="10"/>
  <c r="N8" i="10" s="1"/>
  <c r="L8" i="10"/>
  <c r="K8" i="10"/>
  <c r="M7" i="10"/>
  <c r="N7" i="10" s="1"/>
  <c r="L7" i="10"/>
  <c r="K7" i="10"/>
  <c r="M6" i="10"/>
  <c r="M28" i="10" s="1"/>
  <c r="L6" i="10"/>
  <c r="K6" i="10"/>
  <c r="K36" i="16" l="1"/>
  <c r="L36" i="16" s="1"/>
  <c r="AD52" i="16"/>
  <c r="AC52" i="16"/>
  <c r="AE52" i="16"/>
  <c r="AA52" i="16"/>
  <c r="X52" i="16"/>
  <c r="M44" i="16"/>
  <c r="N44" i="16" s="1"/>
  <c r="N50" i="16" s="1"/>
  <c r="U52" i="16"/>
  <c r="S52" i="16"/>
  <c r="P52" i="16"/>
  <c r="Q52" i="16"/>
  <c r="F52" i="16"/>
  <c r="L33" i="16"/>
  <c r="H52" i="16"/>
  <c r="I52" i="16"/>
  <c r="N30" i="16"/>
  <c r="M30" i="16"/>
  <c r="M36" i="16"/>
  <c r="N36" i="16" s="1"/>
  <c r="N32" i="16"/>
  <c r="L30" i="16"/>
  <c r="K30" i="16"/>
  <c r="K44" i="16"/>
  <c r="L44" i="16" s="1"/>
  <c r="L50" i="16" s="1"/>
  <c r="A52" i="16"/>
  <c r="X52" i="15"/>
  <c r="F52" i="15"/>
  <c r="Z52" i="15"/>
  <c r="AD52" i="15"/>
  <c r="AC52" i="15"/>
  <c r="AE52" i="15"/>
  <c r="AA52" i="15"/>
  <c r="U52" i="15"/>
  <c r="S52" i="15"/>
  <c r="M36" i="15"/>
  <c r="N36" i="15" s="1"/>
  <c r="M44" i="15"/>
  <c r="M50" i="15" s="1"/>
  <c r="M30" i="15"/>
  <c r="Q52" i="15"/>
  <c r="P52" i="15"/>
  <c r="H52" i="15"/>
  <c r="K36" i="15"/>
  <c r="L36" i="15" s="1"/>
  <c r="K30" i="15"/>
  <c r="L30" i="15"/>
  <c r="I52" i="15"/>
  <c r="N30" i="15"/>
  <c r="N38" i="15"/>
  <c r="K44" i="15"/>
  <c r="L44" i="15" s="1"/>
  <c r="L50" i="15" s="1"/>
  <c r="A50" i="15"/>
  <c r="A52" i="15" s="1"/>
  <c r="Q52" i="14"/>
  <c r="AD52" i="14"/>
  <c r="M36" i="14"/>
  <c r="N36" i="14" s="1"/>
  <c r="P52" i="14"/>
  <c r="X52" i="14"/>
  <c r="U52" i="14"/>
  <c r="S52" i="14"/>
  <c r="M30" i="14"/>
  <c r="L50" i="14"/>
  <c r="I52" i="14"/>
  <c r="F52" i="14"/>
  <c r="L30" i="14"/>
  <c r="K50" i="14"/>
  <c r="K30" i="14"/>
  <c r="M44" i="14"/>
  <c r="M50" i="14" s="1"/>
  <c r="N28" i="14"/>
  <c r="N30" i="14" s="1"/>
  <c r="H50" i="14"/>
  <c r="H52" i="14" s="1"/>
  <c r="N38" i="14"/>
  <c r="L30" i="13"/>
  <c r="K30" i="13"/>
  <c r="N30" i="13"/>
  <c r="M30" i="13"/>
  <c r="Q52" i="13"/>
  <c r="K44" i="13"/>
  <c r="S52" i="13"/>
  <c r="T52" i="13"/>
  <c r="E52" i="13"/>
  <c r="U52" i="13"/>
  <c r="F52" i="13"/>
  <c r="V52" i="13"/>
  <c r="M36" i="13"/>
  <c r="N36" i="13" s="1"/>
  <c r="P52" i="13"/>
  <c r="M44" i="13"/>
  <c r="N44" i="13" s="1"/>
  <c r="N50" i="13" s="1"/>
  <c r="B52" i="13"/>
  <c r="X52" i="13"/>
  <c r="A52" i="13"/>
  <c r="H52" i="13"/>
  <c r="I52" i="13"/>
  <c r="N32" i="13"/>
  <c r="K36" i="13"/>
  <c r="L36" i="13" s="1"/>
  <c r="S52" i="12"/>
  <c r="U52" i="12"/>
  <c r="X52" i="12"/>
  <c r="V52" i="12"/>
  <c r="P52" i="12"/>
  <c r="T52" i="12"/>
  <c r="Q52" i="12"/>
  <c r="K42" i="12"/>
  <c r="L42" i="12" s="1"/>
  <c r="I52" i="12"/>
  <c r="H52" i="12"/>
  <c r="E52" i="12"/>
  <c r="M34" i="12"/>
  <c r="N34" i="12" s="1"/>
  <c r="K28" i="12"/>
  <c r="L28" i="12" s="1"/>
  <c r="M28" i="12"/>
  <c r="A52" i="12"/>
  <c r="N6" i="12"/>
  <c r="N28" i="12" s="1"/>
  <c r="K34" i="12"/>
  <c r="L34" i="12" s="1"/>
  <c r="M42" i="12"/>
  <c r="N42" i="12" s="1"/>
  <c r="K50" i="12"/>
  <c r="N48" i="12"/>
  <c r="L26" i="12"/>
  <c r="N42" i="10"/>
  <c r="K34" i="10"/>
  <c r="L34" i="10" s="1"/>
  <c r="K50" i="10"/>
  <c r="N6" i="10"/>
  <c r="N28" i="10" s="1"/>
  <c r="N50" i="10"/>
  <c r="M50" i="16" l="1"/>
  <c r="M52" i="16" s="1"/>
  <c r="N52" i="16"/>
  <c r="K50" i="16"/>
  <c r="K52" i="16" s="1"/>
  <c r="L52" i="16" s="1"/>
  <c r="N44" i="15"/>
  <c r="N50" i="15" s="1"/>
  <c r="N52" i="15" s="1"/>
  <c r="M52" i="15"/>
  <c r="K50" i="15"/>
  <c r="K52" i="15" s="1"/>
  <c r="L52" i="15" s="1"/>
  <c r="M52" i="14"/>
  <c r="N44" i="14"/>
  <c r="N50" i="14" s="1"/>
  <c r="N52" i="14" s="1"/>
  <c r="K52" i="14"/>
  <c r="L52" i="14" s="1"/>
  <c r="L44" i="13"/>
  <c r="L50" i="13" s="1"/>
  <c r="K50" i="13"/>
  <c r="M50" i="13"/>
  <c r="M52" i="13" s="1"/>
  <c r="N52" i="13"/>
  <c r="K52" i="12"/>
  <c r="L52" i="12" s="1"/>
  <c r="L50" i="12"/>
  <c r="M50" i="12"/>
  <c r="N52" i="10"/>
  <c r="K52" i="10"/>
  <c r="L52" i="10" s="1"/>
  <c r="L50" i="10"/>
  <c r="K52" i="13" l="1"/>
  <c r="L52" i="13" s="1"/>
  <c r="M52" i="12"/>
  <c r="N50" i="12"/>
  <c r="N52" i="12" s="1"/>
  <c r="AB52" i="11"/>
  <c r="AD50" i="11"/>
  <c r="AC50" i="11"/>
  <c r="AA50" i="11"/>
  <c r="Z50" i="11"/>
  <c r="T50" i="11"/>
  <c r="T52" i="11" s="1"/>
  <c r="S50" i="11"/>
  <c r="M48" i="11"/>
  <c r="K48" i="11"/>
  <c r="L48" i="11" s="1"/>
  <c r="M46" i="11"/>
  <c r="N46" i="11" s="1"/>
  <c r="K46" i="11"/>
  <c r="L46" i="11" s="1"/>
  <c r="M44" i="11"/>
  <c r="N44" i="11" s="1"/>
  <c r="K44" i="11"/>
  <c r="L44" i="11" s="1"/>
  <c r="AE42" i="11"/>
  <c r="AE50" i="11" s="1"/>
  <c r="AD42" i="11"/>
  <c r="AC42" i="11"/>
  <c r="AA42" i="11"/>
  <c r="Z42" i="11"/>
  <c r="X42" i="11"/>
  <c r="X50" i="11" s="1"/>
  <c r="V42" i="11"/>
  <c r="V50" i="11" s="1"/>
  <c r="V52" i="11" s="1"/>
  <c r="U42" i="11"/>
  <c r="U50" i="11" s="1"/>
  <c r="T42" i="11"/>
  <c r="S42" i="11"/>
  <c r="Q42" i="11"/>
  <c r="Q50" i="11" s="1"/>
  <c r="P42" i="11"/>
  <c r="P50" i="11" s="1"/>
  <c r="I42" i="11"/>
  <c r="I50" i="11" s="1"/>
  <c r="H42" i="11"/>
  <c r="H50" i="11" s="1"/>
  <c r="F42" i="11"/>
  <c r="F50" i="11" s="1"/>
  <c r="E42" i="11"/>
  <c r="E50" i="11" s="1"/>
  <c r="E52" i="11" s="1"/>
  <c r="B42" i="11"/>
  <c r="B50" i="11" s="1"/>
  <c r="B52" i="11" s="1"/>
  <c r="A42" i="11"/>
  <c r="A50" i="11" s="1"/>
  <c r="A52" i="11" s="1"/>
  <c r="M41" i="11"/>
  <c r="N41" i="11" s="1"/>
  <c r="K41" i="11"/>
  <c r="L41" i="11" s="1"/>
  <c r="M40" i="11"/>
  <c r="N40" i="11" s="1"/>
  <c r="K40" i="11"/>
  <c r="L40" i="11" s="1"/>
  <c r="M38" i="11"/>
  <c r="N38" i="11" s="1"/>
  <c r="K38" i="11"/>
  <c r="L38" i="11" s="1"/>
  <c r="M36" i="11"/>
  <c r="N36" i="11" s="1"/>
  <c r="K36" i="11"/>
  <c r="L36" i="11" s="1"/>
  <c r="AE34" i="11"/>
  <c r="AD34" i="11"/>
  <c r="AC34" i="11"/>
  <c r="AA34" i="11"/>
  <c r="Z34" i="11"/>
  <c r="X34" i="11"/>
  <c r="V34" i="11"/>
  <c r="U34" i="11"/>
  <c r="T34" i="11"/>
  <c r="S34" i="11"/>
  <c r="Q34" i="11"/>
  <c r="P34" i="11"/>
  <c r="I34" i="11"/>
  <c r="H34" i="11"/>
  <c r="F34" i="11"/>
  <c r="E34" i="11"/>
  <c r="B34" i="11"/>
  <c r="A34" i="11"/>
  <c r="M33" i="11"/>
  <c r="K33" i="11"/>
  <c r="L33" i="11" s="1"/>
  <c r="M32" i="11"/>
  <c r="N32" i="11" s="1"/>
  <c r="K32" i="11"/>
  <c r="L32" i="11" s="1"/>
  <c r="M31" i="11"/>
  <c r="N31" i="11" s="1"/>
  <c r="K31" i="11"/>
  <c r="L31" i="11" s="1"/>
  <c r="M30" i="11"/>
  <c r="N30" i="11" s="1"/>
  <c r="K30" i="11"/>
  <c r="L30" i="11" s="1"/>
  <c r="AA28" i="11"/>
  <c r="Z28" i="11"/>
  <c r="X28" i="11"/>
  <c r="V28" i="11"/>
  <c r="U28" i="11"/>
  <c r="T28" i="11"/>
  <c r="S28" i="11"/>
  <c r="Q28" i="11"/>
  <c r="P28" i="11"/>
  <c r="I28" i="11"/>
  <c r="H28" i="11"/>
  <c r="F28" i="11"/>
  <c r="E28" i="11"/>
  <c r="B28" i="11"/>
  <c r="A28" i="11"/>
  <c r="M26" i="11"/>
  <c r="N26" i="11" s="1"/>
  <c r="K26" i="11"/>
  <c r="L26" i="11" s="1"/>
  <c r="B26" i="11"/>
  <c r="M24" i="11"/>
  <c r="N24" i="11" s="1"/>
  <c r="K24" i="11"/>
  <c r="L24" i="11" s="1"/>
  <c r="M23" i="11"/>
  <c r="N23" i="11" s="1"/>
  <c r="K23" i="11"/>
  <c r="L23" i="11" s="1"/>
  <c r="M22" i="11"/>
  <c r="N22" i="11" s="1"/>
  <c r="K22" i="11"/>
  <c r="L22" i="11" s="1"/>
  <c r="M21" i="11"/>
  <c r="N21" i="11" s="1"/>
  <c r="K21" i="11"/>
  <c r="L21" i="11" s="1"/>
  <c r="M20" i="11"/>
  <c r="N20" i="11" s="1"/>
  <c r="K20" i="11"/>
  <c r="L20" i="11" s="1"/>
  <c r="M19" i="11"/>
  <c r="N19" i="11" s="1"/>
  <c r="K19" i="11"/>
  <c r="L19" i="11" s="1"/>
  <c r="M18" i="11"/>
  <c r="N18" i="11" s="1"/>
  <c r="K18" i="11"/>
  <c r="L18" i="11" s="1"/>
  <c r="M17" i="11"/>
  <c r="N17" i="11" s="1"/>
  <c r="K17" i="11"/>
  <c r="L17" i="11" s="1"/>
  <c r="M16" i="11"/>
  <c r="N16" i="11" s="1"/>
  <c r="K16" i="11"/>
  <c r="L16" i="11" s="1"/>
  <c r="M15" i="11"/>
  <c r="N15" i="11" s="1"/>
  <c r="K15" i="11"/>
  <c r="L15" i="11" s="1"/>
  <c r="M14" i="11"/>
  <c r="N14" i="11" s="1"/>
  <c r="K14" i="11"/>
  <c r="L14" i="11" s="1"/>
  <c r="M13" i="11"/>
  <c r="N13" i="11" s="1"/>
  <c r="K13" i="11"/>
  <c r="L13" i="11" s="1"/>
  <c r="M12" i="11"/>
  <c r="N12" i="11" s="1"/>
  <c r="K12" i="11"/>
  <c r="L12" i="11" s="1"/>
  <c r="M11" i="11"/>
  <c r="N11" i="11" s="1"/>
  <c r="K11" i="11"/>
  <c r="L11" i="11" s="1"/>
  <c r="M10" i="11"/>
  <c r="N10" i="11" s="1"/>
  <c r="K10" i="11"/>
  <c r="L10" i="11" s="1"/>
  <c r="M9" i="11"/>
  <c r="N9" i="11" s="1"/>
  <c r="K9" i="11"/>
  <c r="L9" i="11" s="1"/>
  <c r="M8" i="11"/>
  <c r="N8" i="11" s="1"/>
  <c r="K8" i="11"/>
  <c r="L8" i="11" s="1"/>
  <c r="M7" i="11"/>
  <c r="N7" i="11" s="1"/>
  <c r="K7" i="11"/>
  <c r="L7" i="11" s="1"/>
  <c r="M6" i="11"/>
  <c r="N6" i="11" s="1"/>
  <c r="K6" i="11"/>
  <c r="L6" i="11" s="1"/>
  <c r="Z50" i="8"/>
  <c r="AA50" i="8"/>
  <c r="AD50" i="8"/>
  <c r="AC50" i="8"/>
  <c r="Q52" i="11" l="1"/>
  <c r="AE52" i="11"/>
  <c r="AD52" i="11"/>
  <c r="AC52" i="11"/>
  <c r="AA52" i="11"/>
  <c r="Z52" i="11"/>
  <c r="X52" i="11"/>
  <c r="U52" i="11"/>
  <c r="S52" i="11"/>
  <c r="M28" i="11"/>
  <c r="M34" i="11"/>
  <c r="N34" i="11" s="1"/>
  <c r="P52" i="11"/>
  <c r="K42" i="11"/>
  <c r="L42" i="11" s="1"/>
  <c r="K28" i="11"/>
  <c r="L28" i="11" s="1"/>
  <c r="H52" i="11"/>
  <c r="I52" i="11"/>
  <c r="F52" i="11"/>
  <c r="N28" i="11"/>
  <c r="K34" i="11"/>
  <c r="L34" i="11" s="1"/>
  <c r="M42" i="11"/>
  <c r="M50" i="11" s="1"/>
  <c r="K50" i="11"/>
  <c r="N48" i="11"/>
  <c r="AC34" i="8"/>
  <c r="AC28" i="8"/>
  <c r="N42" i="11" l="1"/>
  <c r="M52" i="11"/>
  <c r="N50" i="11"/>
  <c r="N52" i="11" s="1"/>
  <c r="K52" i="11"/>
  <c r="L52" i="11" s="1"/>
  <c r="L50" i="11"/>
  <c r="X42" i="8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AD55" i="9" l="1"/>
  <c r="N35" i="9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F52" i="8" l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L50" i="8" l="1"/>
  <c r="K52" i="8"/>
  <c r="L52" i="8" s="1"/>
  <c r="M50" i="8"/>
  <c r="M52" i="8" s="1"/>
  <c r="N50" i="8" l="1"/>
  <c r="N5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tc={C6A3C979-7DA0-4A50-AE1F-680543097C60}</author>
    <author>tc={8A4F26D4-4C58-48AE-93F3-06A68D96C387}</author>
    <author>tc={B688DCAA-C03F-4BF7-A706-7554F557E546}</author>
    <author>tc={6AA4661F-DE05-44C5-A127-33E35DF7E2BA}</author>
    <author>tc={E3DDB9E9-F9BD-4003-9D24-3103EA48569F}</author>
    <author>tc={AF7CBF10-4360-417B-AF1E-EE116086F1BD}</author>
    <author>tc={5DF84A5F-68A4-4DCE-99BD-3A6702850DBF}</author>
    <author>Gill Board</author>
  </authors>
  <commentList>
    <comment ref="E8" authorId="0" shapeId="0" xr:uid="{C6A3C979-7DA0-4A50-AE1F-680543097C60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8A4F26D4-4C58-48AE-93F3-06A68D96C387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B688DCAA-C03F-4BF7-A706-7554F557E54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6AA4661F-DE05-44C5-A127-33E35DF7E2B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3DDB9E9-F9BD-4003-9D24-3103EA48569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AF7CBF10-4360-417B-AF1E-EE116086F1BD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5DF84A5F-68A4-4DCE-99BD-3A6702850DB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  <comment ref="F52" authorId="7" shapeId="0" xr:uid="{ACD97196-FF20-4784-A601-E5B773A7A972}">
      <text>
        <r>
          <rPr>
            <b/>
            <sz val="9"/>
            <color indexed="81"/>
            <rFont val="Tahoma"/>
            <family val="2"/>
          </rPr>
          <t>Gill Board:</t>
        </r>
        <r>
          <rPr>
            <sz val="9"/>
            <color indexed="81"/>
            <rFont val="Tahoma"/>
            <family val="2"/>
          </rPr>
          <t xml:space="preserve">
The increase this quarter is due to the creation of the Provincial Virtual Circles in each GBNC Province.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tc={20834BD4-E6F9-4969-9394-3F00A9BB4F3A}</author>
    <author>tc={2E696FBB-75CD-471F-9F79-CA093C636213}</author>
    <author>tc={CC570E85-5674-4DF6-8C7A-F2007EA1672B}</author>
    <author>tc={E1BBB2D0-82A1-4FEB-AEB4-06AAA9A18F69}</author>
    <author>tc={EE0814B5-2937-4363-86B1-2AB9F323B10C}</author>
    <author>tc={84841DDB-F049-43A9-A7D9-C406541CB4E3}</author>
    <author>tc={A501B79D-281A-4E79-AA61-BB576AF93064}</author>
  </authors>
  <commentList>
    <comment ref="E8" authorId="0" shapeId="0" xr:uid="{20834BD4-E6F9-4969-9394-3F00A9BB4F3A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2E696FBB-75CD-471F-9F79-CA093C63621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CC570E85-5674-4DF6-8C7A-F2007EA1672B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E1BBB2D0-82A1-4FEB-AEB4-06AAA9A18F69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E0814B5-2937-4363-86B1-2AB9F323B10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84841DDB-F049-43A9-A7D9-C406541CB4E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A501B79D-281A-4E79-AA61-BB576AF93064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sharedStrings.xml><?xml version="1.0" encoding="utf-8"?>
<sst xmlns="http://schemas.openxmlformats.org/spreadsheetml/2006/main" count="1059" uniqueCount="108">
  <si>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</si>
  <si>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</si>
  <si>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</si>
  <si>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</si>
  <si>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</si>
  <si>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</si>
  <si>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</si>
  <si>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</si>
  <si>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</si>
  <si>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</si>
  <si>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</si>
  <si>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</si>
  <si>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</si>
  <si>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</si>
  <si>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</si>
  <si>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</si>
  <si>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</si>
  <si>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</si>
  <si>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</si>
  <si>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</si>
  <si>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</si>
  <si>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</si>
  <si>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</si>
  <si>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</si>
  <si>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</si>
  <si>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</si>
  <si>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</si>
  <si>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</si>
  <si>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</si>
  <si>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</si>
  <si>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</si>
  <si>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</si>
  <si>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</si>
  <si>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</si>
  <si>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</si>
  <si>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</si>
  <si>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</si>
  <si>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</si>
  <si>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</si>
  <si>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</si>
  <si>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</si>
  <si>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</si>
  <si>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</si>
  <si>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</si>
  <si>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</si>
  <si>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</si>
  <si>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</si>
  <si>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</si>
  <si>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</si>
  <si>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</si>
  <si>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</si>
  <si>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</si>
  <si>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</si>
  <si>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</si>
  <si>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</si>
  <si>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</si>
  <si>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</si>
  <si>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</si>
  <si>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</si>
  <si>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</si>
  <si>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</si>
  <si>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</si>
  <si>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</si>
  <si>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</si>
  <si>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</si>
  <si>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</si>
  <si>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DEVELOPMENT AREAS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</si>
  <si>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</si>
  <si>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</si>
  <si>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</si>
  <si>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</si>
  <si>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</si>
  <si>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</si>
  <si>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</si>
  <si>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</si>
  <si>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</si>
  <si>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</si>
  <si>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</si>
  <si>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</si>
  <si>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</si>
  <si>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</si>
  <si>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</si>
  <si>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</si>
  <si>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</si>
  <si>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</si>
  <si>
    <t>31.12.20</t>
  </si>
  <si>
    <t>Members
31.12.20</t>
  </si>
  <si>
    <t>Members
31.03.21</t>
  </si>
  <si>
    <t>31.03.21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</si>
  <si>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</si>
  <si>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Whole Associaton  2020-2021</t>
  </si>
  <si>
    <t>01.04.21</t>
  </si>
  <si>
    <t>30.06.21</t>
  </si>
  <si>
    <r>
      <t xml:space="preserve">Members
</t>
    </r>
    <r>
      <rPr>
        <b/>
        <sz val="11"/>
        <rFont val="Arial"/>
        <family val="2"/>
      </rPr>
      <t>01.04.21</t>
    </r>
  </si>
  <si>
    <t>Whole Associaton  2021-2022</t>
  </si>
  <si>
    <t>Members
30.06.21</t>
  </si>
  <si>
    <t>30.09.21</t>
  </si>
  <si>
    <t>-</t>
  </si>
  <si>
    <t>31.12.21</t>
  </si>
  <si>
    <t>Members
31.12.21</t>
  </si>
  <si>
    <t>Members
01.04.21</t>
  </si>
  <si>
    <t>No. Circles/ 
Groups</t>
  </si>
  <si>
    <t>31.03.22</t>
  </si>
  <si>
    <t>Members
31.03.22</t>
  </si>
  <si>
    <t>Members
01.04.22</t>
  </si>
  <si>
    <t>01.04.22</t>
  </si>
  <si>
    <t>30.06.22</t>
  </si>
  <si>
    <t>Members
30.06.22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</si>
</sst>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4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3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right" shrinkToFit="1"/>
    </xf>
    <xf numFmtId="165" fontId="4" fillId="0" borderId="0" xfId="0" applyNumberFormat="1" applyFont="1" applyFill="1" applyBorder="1" applyAlignment="1">
      <alignment horizontal="right" shrinkToFit="1"/>
    </xf>
    <xf numFmtId="167" fontId="4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indent="1" shrinkToFit="1"/>
    </xf>
    <xf numFmtId="1" fontId="4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9" fillId="7" borderId="0" xfId="0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3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top" shrinkToFit="1"/>
    </xf>
    <xf numFmtId="0" fontId="8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0" fillId="7" borderId="0" xfId="0" applyNumberFormat="1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vertical="center" shrinkToFit="1"/>
    </xf>
    <xf numFmtId="167" fontId="10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left" indent="1" shrinkToFit="1"/>
    </xf>
    <xf numFmtId="0" fontId="10" fillId="4" borderId="0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vertical="top" wrapText="1"/>
    </xf>
    <xf numFmtId="166" fontId="5" fillId="0" borderId="9" xfId="0" applyNumberFormat="1" applyFont="1" applyFill="1" applyBorder="1" applyAlignment="1">
      <alignment horizontal="center" vertical="center" shrinkToFit="1"/>
    </xf>
    <xf numFmtId="165" fontId="5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" fontId="10" fillId="4" borderId="12" xfId="0" applyNumberFormat="1" applyFont="1" applyFill="1" applyBorder="1" applyAlignment="1">
      <alignment horizontal="center" vertical="center" shrinkToFit="1"/>
    </xf>
    <xf numFmtId="167" fontId="10" fillId="4" borderId="12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 shrinkToFit="1"/>
    </xf>
    <xf numFmtId="165" fontId="10" fillId="4" borderId="13" xfId="0" applyNumberFormat="1" applyFont="1" applyFill="1" applyBorder="1" applyAlignment="1">
      <alignment horizontal="center" vertical="center" shrinkToFit="1"/>
    </xf>
    <xf numFmtId="166" fontId="10" fillId="4" borderId="11" xfId="0" applyNumberFormat="1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5" fillId="0" borderId="14" xfId="0" applyNumberFormat="1" applyFont="1" applyFill="1" applyBorder="1" applyAlignment="1">
      <alignment horizontal="center" vertical="center" shrinkToFit="1"/>
    </xf>
    <xf numFmtId="165" fontId="5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6" fillId="7" borderId="0" xfId="0" applyNumberFormat="1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/>
    </xf>
    <xf numFmtId="1" fontId="16" fillId="8" borderId="0" xfId="0" applyNumberFormat="1" applyFont="1" applyFill="1" applyBorder="1" applyAlignment="1">
      <alignment horizontal="center" vertical="center" shrinkToFit="1"/>
    </xf>
    <xf numFmtId="1" fontId="16" fillId="8" borderId="0" xfId="0" quotePrefix="1" applyNumberFormat="1" applyFont="1" applyFill="1" applyBorder="1" applyAlignment="1">
      <alignment horizontal="center" vertical="center" shrinkToFit="1"/>
    </xf>
    <xf numFmtId="0" fontId="14" fillId="8" borderId="0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18" fillId="0" borderId="0" xfId="0" quotePrefix="1" applyFont="1" applyFill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6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8" fillId="0" borderId="0" xfId="0" quotePrefix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164" fontId="13" fillId="0" borderId="8" xfId="0" applyNumberFormat="1" applyFont="1" applyFill="1" applyBorder="1" applyAlignment="1">
      <alignment vertical="center" shrinkToFit="1"/>
    </xf>
    <xf numFmtId="0" fontId="10" fillId="4" borderId="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3" fillId="0" borderId="8" xfId="0" applyNumberFormat="1" applyFont="1" applyBorder="1" applyAlignment="1">
      <alignment vertical="center" shrinkToFi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3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3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left" indent="1" shrinkToFit="1"/>
    </xf>
    <xf numFmtId="0" fontId="10" fillId="7" borderId="0" xfId="0" applyFont="1" applyFill="1" applyAlignment="1">
      <alignment horizontal="left" wrapText="1"/>
    </xf>
    <xf numFmtId="1" fontId="10" fillId="7" borderId="0" xfId="0" applyNumberFormat="1" applyFont="1" applyFill="1" applyAlignment="1">
      <alignment horizontal="center" vertical="center" shrinkToFit="1"/>
    </xf>
    <xf numFmtId="0" fontId="10" fillId="3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 shrinkToFit="1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167" fontId="10" fillId="4" borderId="0" xfId="0" applyNumberFormat="1" applyFont="1" applyFill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1" fontId="16" fillId="8" borderId="0" xfId="0" quotePrefix="1" applyNumberFormat="1" applyFont="1" applyFill="1" applyAlignment="1">
      <alignment horizontal="center" vertical="center" shrinkToFit="1"/>
    </xf>
    <xf numFmtId="1" fontId="16" fillId="8" borderId="0" xfId="0" applyNumberFormat="1" applyFont="1" applyFill="1" applyAlignment="1">
      <alignment horizontal="center" vertical="center" shrinkToFit="1"/>
    </xf>
    <xf numFmtId="0" fontId="17" fillId="3" borderId="0" xfId="0" applyFont="1" applyFill="1" applyAlignment="1">
      <alignment horizontal="center" vertical="center" wrapText="1"/>
    </xf>
    <xf numFmtId="1" fontId="14" fillId="8" borderId="22" xfId="0" applyNumberFormat="1" applyFont="1" applyFill="1" applyBorder="1" applyAlignment="1">
      <alignment horizontal="center" vertical="center" wrapText="1"/>
    </xf>
    <xf numFmtId="1" fontId="14" fillId="8" borderId="21" xfId="0" applyNumberFormat="1" applyFont="1" applyFill="1" applyBorder="1" applyAlignment="1">
      <alignment horizontal="center" vertical="center" wrapText="1"/>
    </xf>
    <xf numFmtId="1" fontId="14" fillId="8" borderId="23" xfId="0" applyNumberFormat="1" applyFont="1" applyFill="1" applyBorder="1" applyAlignment="1">
      <alignment horizontal="center" vertical="center" wrapText="1"/>
    </xf>
    <xf numFmtId="1" fontId="16" fillId="7" borderId="0" xfId="0" applyNumberFormat="1" applyFont="1" applyFill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right" shrinkToFit="1"/>
    </xf>
    <xf numFmtId="1" fontId="4" fillId="0" borderId="0" xfId="0" quotePrefix="1" applyNumberFormat="1" applyFont="1" applyAlignment="1">
      <alignment horizontal="left" indent="1" shrinkToFi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4" fillId="0" borderId="0" xfId="0" applyNumberFormat="1" applyFont="1" applyAlignment="1">
      <alignment horizontal="left" indent="1" shrinkToFit="1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shrinkToFit="1"/>
    </xf>
    <xf numFmtId="1" fontId="4" fillId="0" borderId="0" xfId="0" applyNumberFormat="1" applyFont="1" applyAlignment="1">
      <alignment horizontal="center" vertical="top" shrinkToFit="1"/>
    </xf>
    <xf numFmtId="0" fontId="6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1" fontId="10" fillId="4" borderId="17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center" vertical="center" wrapText="1"/>
    </xf>
    <xf numFmtId="166" fontId="5" fillId="4" borderId="14" xfId="0" applyNumberFormat="1" applyFont="1" applyFill="1" applyBorder="1" applyAlignment="1">
      <alignment horizontal="center" vertical="center" shrinkToFit="1"/>
    </xf>
    <xf numFmtId="1" fontId="10" fillId="4" borderId="14" xfId="0" applyNumberFormat="1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1" fontId="10" fillId="4" borderId="16" xfId="0" applyNumberFormat="1" applyFont="1" applyFill="1" applyBorder="1" applyAlignment="1">
      <alignment horizontal="center" vertical="center" shrinkToFit="1"/>
    </xf>
    <xf numFmtId="167" fontId="10" fillId="4" borderId="16" xfId="0" applyNumberFormat="1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3" fillId="4" borderId="11" xfId="0" applyNumberFormat="1" applyFont="1" applyFill="1" applyBorder="1" applyAlignment="1">
      <alignment horizontal="center" vertical="center" shrinkToFit="1"/>
    </xf>
    <xf numFmtId="165" fontId="3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 shrinkToFit="1"/>
    </xf>
    <xf numFmtId="1" fontId="3" fillId="7" borderId="0" xfId="0" applyNumberFormat="1" applyFont="1" applyFill="1" applyBorder="1" applyAlignment="1">
      <alignment horizontal="left" indent="1" shrinkToFit="1"/>
    </xf>
    <xf numFmtId="1" fontId="3" fillId="7" borderId="0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shrinkToFit="1"/>
    </xf>
    <xf numFmtId="167" fontId="3" fillId="0" borderId="16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shrinkToFit="1"/>
    </xf>
    <xf numFmtId="0" fontId="3" fillId="0" borderId="14" xfId="0" quotePrefix="1" applyFont="1" applyFill="1" applyBorder="1" applyAlignment="1">
      <alignment horizontal="center" vertical="center" wrapText="1"/>
    </xf>
    <xf numFmtId="0" fontId="3" fillId="0" borderId="15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0" fillId="4" borderId="15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shrinkToFit="1"/>
    </xf>
    <xf numFmtId="165" fontId="5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20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0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0" fillId="4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23" fillId="4" borderId="6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  <xf numFmtId="167" fontId="8" fillId="4" borderId="6" xfId="0" applyNumberFormat="1" applyFont="1" applyFill="1" applyBorder="1" applyAlignment="1">
      <alignment horizontal="center" vertical="center" wrapText="1"/>
    </xf>
    <xf numFmtId="167" fontId="8" fillId="4" borderId="8" xfId="0" applyNumberFormat="1" applyFont="1" applyFill="1" applyBorder="1" applyAlignment="1">
      <alignment horizontal="center" vertical="center" wrapText="1"/>
    </xf>
    <xf numFmtId="167" fontId="8" fillId="4" borderId="9" xfId="0" applyNumberFormat="1" applyFont="1" applyFill="1" applyBorder="1" applyAlignment="1">
      <alignment horizontal="center" vertical="center" wrapText="1"/>
    </xf>
    <xf numFmtId="167" fontId="8" fillId="4" borderId="10" xfId="0" applyNumberFormat="1" applyFont="1" applyFill="1" applyBorder="1" applyAlignment="1">
      <alignment horizontal="center" vertical="center" wrapText="1"/>
    </xf>
    <xf numFmtId="167" fontId="23" fillId="4" borderId="11" xfId="0" applyNumberFormat="1" applyFont="1" applyFill="1" applyBorder="1" applyAlignment="1">
      <alignment horizontal="center" vertical="center" wrapText="1"/>
    </xf>
    <xf numFmtId="167" fontId="8" fillId="4" borderId="13" xfId="0" applyNumberFormat="1" applyFont="1" applyFill="1" applyBorder="1" applyAlignment="1">
      <alignment horizontal="center" vertical="center" wrapText="1"/>
    </xf>
    <xf numFmtId="167" fontId="8" fillId="4" borderId="14" xfId="0" applyNumberFormat="1" applyFont="1" applyFill="1" applyBorder="1" applyAlignment="1">
      <alignment horizontal="center" vertical="center" wrapText="1"/>
    </xf>
    <xf numFmtId="167" fontId="8" fillId="4" borderId="17" xfId="0" applyNumberFormat="1" applyFont="1" applyFill="1" applyBorder="1" applyAlignment="1">
      <alignment horizontal="center" vertical="center" wrapText="1"/>
    </xf>
    <xf numFmtId="167" fontId="23" fillId="4" borderId="1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0" xfId="0" applyNumberFormat="1" applyFont="1" applyFill="1" applyBorder="1" applyAlignment="1">
      <alignment horizontal="center" vertical="center" wrapText="1"/>
    </xf>
    <xf numFmtId="167" fontId="23" fillId="4" borderId="12" xfId="0" applyNumberFormat="1" applyFont="1" applyFill="1" applyBorder="1" applyAlignment="1">
      <alignment horizontal="center" vertical="center" wrapText="1"/>
    </xf>
    <xf numFmtId="165" fontId="28" fillId="4" borderId="17" xfId="0" applyNumberFormat="1" applyFont="1" applyFill="1" applyBorder="1" applyAlignment="1">
      <alignment horizontal="center" vertical="center" shrinkToFit="1"/>
    </xf>
    <xf numFmtId="165" fontId="28" fillId="0" borderId="17" xfId="0" applyNumberFormat="1" applyFont="1" applyFill="1" applyBorder="1" applyAlignment="1">
      <alignment horizontal="center" vertical="center" shrinkToFit="1"/>
    </xf>
    <xf numFmtId="166" fontId="29" fillId="8" borderId="22" xfId="0" applyNumberFormat="1" applyFont="1" applyFill="1" applyBorder="1" applyAlignment="1">
      <alignment horizontal="center" vertical="center" shrinkToFit="1"/>
    </xf>
    <xf numFmtId="167" fontId="23" fillId="4" borderId="15" xfId="0" applyNumberFormat="1" applyFont="1" applyFill="1" applyBorder="1" applyAlignment="1">
      <alignment horizontal="center" vertical="center" wrapText="1"/>
    </xf>
    <xf numFmtId="165" fontId="27" fillId="8" borderId="23" xfId="0" applyNumberFormat="1" applyFont="1" applyFill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7" fontId="8" fillId="4" borderId="0" xfId="0" applyNumberFormat="1" applyFont="1" applyFill="1" applyAlignment="1">
      <alignment horizontal="center" vertical="center" wrapText="1"/>
    </xf>
    <xf numFmtId="165" fontId="28" fillId="0" borderId="1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/>
    </xf>
    <xf numFmtId="0" fontId="10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3" fillId="0" borderId="9" xfId="0" applyNumberFormat="1" applyFont="1" applyFill="1" applyBorder="1" applyAlignment="1">
      <alignment horizontal="center" vertical="center" shrinkToFit="1"/>
    </xf>
    <xf numFmtId="165" fontId="3" fillId="0" borderId="10" xfId="0" applyNumberFormat="1" applyFont="1" applyFill="1" applyBorder="1" applyAlignment="1">
      <alignment horizontal="center" vertical="center" shrinkToFit="1"/>
    </xf>
    <xf numFmtId="166" fontId="3" fillId="0" borderId="14" xfId="0" applyNumberFormat="1" applyFont="1" applyFill="1" applyBorder="1" applyAlignment="1">
      <alignment horizontal="center" vertical="center" shrinkToFit="1"/>
    </xf>
    <xf numFmtId="165" fontId="3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7" fontId="8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left" wrapText="1"/>
    </xf>
    <xf numFmtId="0" fontId="8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8" fillId="4" borderId="28" xfId="0" applyNumberFormat="1" applyFont="1" applyFill="1" applyBorder="1" applyAlignment="1">
      <alignment horizontal="center" vertical="center" wrapText="1"/>
    </xf>
    <xf numFmtId="167" fontId="8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left" wrapText="1"/>
    </xf>
    <xf numFmtId="0" fontId="10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1" fontId="10" fillId="7" borderId="42" xfId="0" applyNumberFormat="1" applyFont="1" applyFill="1" applyBorder="1" applyAlignment="1">
      <alignment horizontal="left" indent="1" shrinkToFit="1"/>
    </xf>
    <xf numFmtId="0" fontId="30" fillId="4" borderId="43" xfId="0" applyFont="1" applyFill="1" applyBorder="1" applyAlignment="1">
      <alignment horizontal="left" vertical="center" wrapText="1"/>
    </xf>
    <xf numFmtId="0" fontId="10" fillId="7" borderId="42" xfId="0" applyFont="1" applyFill="1" applyBorder="1" applyAlignment="1">
      <alignment horizontal="left" wrapText="1"/>
    </xf>
    <xf numFmtId="1" fontId="10" fillId="7" borderId="42" xfId="0" applyNumberFormat="1" applyFont="1" applyFill="1" applyBorder="1" applyAlignment="1">
      <alignment horizontal="center" vertical="center" shrinkToFit="1"/>
    </xf>
    <xf numFmtId="167" fontId="23" fillId="4" borderId="41" xfId="0" applyNumberFormat="1" applyFont="1" applyFill="1" applyBorder="1" applyAlignment="1">
      <alignment horizontal="center" vertical="center" wrapText="1"/>
    </xf>
    <xf numFmtId="167" fontId="8" fillId="4" borderId="44" xfId="0" applyNumberFormat="1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left" vertical="top" wrapText="1"/>
    </xf>
    <xf numFmtId="0" fontId="10" fillId="9" borderId="45" xfId="0" applyFont="1" applyFill="1" applyBorder="1" applyAlignment="1">
      <alignment horizontal="center" vertical="center" wrapText="1"/>
    </xf>
    <xf numFmtId="0" fontId="10" fillId="9" borderId="46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/>
    </xf>
    <xf numFmtId="166" fontId="5" fillId="0" borderId="50" xfId="0" applyNumberFormat="1" applyFont="1" applyFill="1" applyBorder="1" applyAlignment="1">
      <alignment horizontal="center" vertical="center" shrinkToFit="1"/>
    </xf>
    <xf numFmtId="165" fontId="5" fillId="0" borderId="48" xfId="0" applyNumberFormat="1" applyFont="1" applyFill="1" applyBorder="1" applyAlignment="1">
      <alignment horizontal="center" vertical="center" shrinkToFit="1"/>
    </xf>
    <xf numFmtId="167" fontId="8" fillId="4" borderId="50" xfId="0" applyNumberFormat="1" applyFont="1" applyFill="1" applyBorder="1" applyAlignment="1">
      <alignment horizontal="center" vertical="center" wrapText="1"/>
    </xf>
    <xf numFmtId="167" fontId="8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/>
    </xf>
    <xf numFmtId="0" fontId="30" fillId="4" borderId="55" xfId="0" applyFont="1" applyFill="1" applyBorder="1" applyAlignment="1">
      <alignment horizontal="left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/>
    </xf>
    <xf numFmtId="166" fontId="10" fillId="4" borderId="56" xfId="0" applyNumberFormat="1" applyFont="1" applyFill="1" applyBorder="1" applyAlignment="1">
      <alignment horizontal="center" vertical="center" shrinkToFit="1"/>
    </xf>
    <xf numFmtId="165" fontId="10" fillId="4" borderId="54" xfId="0" applyNumberFormat="1" applyFont="1" applyFill="1" applyBorder="1" applyAlignment="1">
      <alignment horizontal="center" vertical="center" shrinkToFit="1"/>
    </xf>
    <xf numFmtId="167" fontId="23" fillId="4" borderId="56" xfId="0" applyNumberFormat="1" applyFont="1" applyFill="1" applyBorder="1" applyAlignment="1">
      <alignment horizontal="center" vertical="center" wrapText="1"/>
    </xf>
    <xf numFmtId="167" fontId="8" fillId="4" borderId="54" xfId="0" applyNumberFormat="1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 wrapText="1"/>
    </xf>
    <xf numFmtId="1" fontId="10" fillId="4" borderId="56" xfId="0" applyNumberFormat="1" applyFont="1" applyFill="1" applyBorder="1" applyAlignment="1">
      <alignment horizontal="center" vertical="center" shrinkToFit="1"/>
    </xf>
    <xf numFmtId="1" fontId="10" fillId="4" borderId="54" xfId="0" applyNumberFormat="1" applyFont="1" applyFill="1" applyBorder="1" applyAlignment="1">
      <alignment horizontal="center" vertical="center" shrinkToFit="1"/>
    </xf>
    <xf numFmtId="1" fontId="10" fillId="4" borderId="42" xfId="0" applyNumberFormat="1" applyFont="1" applyFill="1" applyBorder="1" applyAlignment="1">
      <alignment horizontal="center" vertical="center" shrinkToFit="1"/>
    </xf>
    <xf numFmtId="1" fontId="10" fillId="4" borderId="57" xfId="0" applyNumberFormat="1" applyFont="1" applyFill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shrinkToFit="1"/>
    </xf>
    <xf numFmtId="0" fontId="10" fillId="4" borderId="44" xfId="0" applyFont="1" applyFill="1" applyBorder="1" applyAlignment="1">
      <alignment horizontal="center" vertical="center" wrapText="1"/>
    </xf>
    <xf numFmtId="166" fontId="10" fillId="4" borderId="41" xfId="0" applyNumberFormat="1" applyFont="1" applyFill="1" applyBorder="1" applyAlignment="1">
      <alignment horizontal="center" vertical="center" shrinkToFit="1"/>
    </xf>
    <xf numFmtId="165" fontId="10" fillId="4" borderId="44" xfId="0" applyNumberFormat="1" applyFont="1" applyFill="1" applyBorder="1" applyAlignment="1">
      <alignment horizontal="center" vertical="center" shrinkToFit="1"/>
    </xf>
    <xf numFmtId="167" fontId="23" fillId="4" borderId="45" xfId="0" applyNumberFormat="1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" fontId="10" fillId="4" borderId="45" xfId="0" applyNumberFormat="1" applyFont="1" applyFill="1" applyBorder="1" applyAlignment="1">
      <alignment horizontal="center" vertical="center" shrinkToFit="1"/>
    </xf>
    <xf numFmtId="1" fontId="10" fillId="4" borderId="41" xfId="0" applyNumberFormat="1" applyFont="1" applyFill="1" applyBorder="1" applyAlignment="1">
      <alignment horizontal="center" vertical="center" shrinkToFit="1"/>
    </xf>
    <xf numFmtId="1" fontId="10" fillId="4" borderId="58" xfId="0" applyNumberFormat="1" applyFont="1" applyFill="1" applyBorder="1" applyAlignment="1">
      <alignment horizontal="center" vertical="center" shrinkToFit="1"/>
    </xf>
    <xf numFmtId="0" fontId="10" fillId="9" borderId="21" xfId="0" applyFont="1" applyFill="1" applyBorder="1" applyAlignment="1">
      <alignment horizontal="center" vertical="center" wrapText="1"/>
    </xf>
    <xf numFmtId="1" fontId="14" fillId="8" borderId="0" xfId="0" applyNumberFormat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1" fontId="10" fillId="4" borderId="58" xfId="0" applyNumberFormat="1" applyFont="1" applyFill="1" applyBorder="1" applyAlignment="1">
      <alignment horizontal="center" vertical="center"/>
    </xf>
    <xf numFmtId="1" fontId="10" fillId="4" borderId="45" xfId="0" applyNumberFormat="1" applyFont="1" applyFill="1" applyBorder="1" applyAlignment="1">
      <alignment horizontal="center" vertical="center"/>
    </xf>
    <xf numFmtId="165" fontId="28" fillId="8" borderId="23" xfId="0" applyNumberFormat="1" applyFont="1" applyFill="1" applyBorder="1" applyAlignment="1">
      <alignment horizontal="center" vertical="center" shrinkToFit="1"/>
    </xf>
    <xf numFmtId="166" fontId="3" fillId="4" borderId="41" xfId="0" applyNumberFormat="1" applyFont="1" applyFill="1" applyBorder="1" applyAlignment="1">
      <alignment horizontal="center" vertical="center" shrinkToFit="1"/>
    </xf>
    <xf numFmtId="165" fontId="3" fillId="4" borderId="44" xfId="0" applyNumberFormat="1" applyFont="1" applyFill="1" applyBorder="1" applyAlignment="1">
      <alignment horizontal="center" vertical="center" shrinkToFit="1"/>
    </xf>
    <xf numFmtId="166" fontId="3" fillId="0" borderId="11" xfId="0" applyNumberFormat="1" applyFont="1" applyFill="1" applyBorder="1" applyAlignment="1">
      <alignment horizontal="center" vertical="center" shrinkToFit="1"/>
    </xf>
    <xf numFmtId="165" fontId="3" fillId="0" borderId="13" xfId="0" applyNumberFormat="1" applyFont="1" applyFill="1" applyBorder="1" applyAlignment="1">
      <alignment horizontal="center" vertical="center" shrinkToFit="1"/>
    </xf>
    <xf numFmtId="166" fontId="3" fillId="0" borderId="28" xfId="0" applyNumberFormat="1" applyFont="1" applyFill="1" applyBorder="1" applyAlignment="1">
      <alignment horizontal="center" vertical="center" shrinkToFit="1"/>
    </xf>
    <xf numFmtId="165" fontId="3" fillId="0" borderId="25" xfId="0" applyNumberFormat="1" applyFont="1" applyFill="1" applyBorder="1" applyAlignment="1">
      <alignment horizontal="center" vertical="center" shrinkToFit="1"/>
    </xf>
    <xf numFmtId="166" fontId="3" fillId="0" borderId="6" xfId="0" applyNumberFormat="1" applyFont="1" applyFill="1" applyBorder="1" applyAlignment="1">
      <alignment horizontal="center" vertical="center" shrinkToFit="1"/>
    </xf>
    <xf numFmtId="165" fontId="3" fillId="0" borderId="8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2" fillId="0" borderId="48" xfId="0" applyNumberFormat="1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left" vertical="center" wrapText="1"/>
    </xf>
    <xf numFmtId="166" fontId="5" fillId="0" borderId="50" xfId="0" applyNumberFormat="1" applyFont="1" applyBorder="1" applyAlignment="1">
      <alignment horizontal="center" vertical="center" shrinkToFit="1"/>
    </xf>
    <xf numFmtId="165" fontId="5" fillId="0" borderId="48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67" fontId="2" fillId="0" borderId="51" xfId="0" applyNumberFormat="1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wrapText="1"/>
    </xf>
    <xf numFmtId="1" fontId="2" fillId="0" borderId="50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" fillId="0" borderId="52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center"/>
    </xf>
    <xf numFmtId="1" fontId="2" fillId="0" borderId="33" xfId="0" applyNumberFormat="1" applyFont="1" applyBorder="1" applyAlignment="1">
      <alignment horizontal="center" vertical="center" shrinkToFit="1"/>
    </xf>
    <xf numFmtId="1" fontId="2" fillId="0" borderId="33" xfId="0" quotePrefix="1" applyNumberFormat="1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" fontId="2" fillId="0" borderId="51" xfId="0" applyNumberFormat="1" applyFont="1" applyBorder="1" applyAlignment="1">
      <alignment horizontal="center" vertical="center" shrinkToFit="1"/>
    </xf>
    <xf numFmtId="167" fontId="2" fillId="0" borderId="51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 shrinkToFit="1"/>
    </xf>
    <xf numFmtId="166" fontId="3" fillId="0" borderId="28" xfId="0" applyNumberFormat="1" applyFont="1" applyBorder="1" applyAlignment="1">
      <alignment horizontal="center" vertical="center" shrinkToFit="1"/>
    </xf>
    <xf numFmtId="165" fontId="3" fillId="0" borderId="25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7" fontId="2" fillId="0" borderId="30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shrinkToFi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0" fontId="2" fillId="0" borderId="37" xfId="0" quotePrefix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" fontId="14" fillId="8" borderId="0" xfId="0" applyNumberFormat="1" applyFont="1" applyFill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166" fontId="5" fillId="0" borderId="11" xfId="0" applyNumberFormat="1" applyFont="1" applyFill="1" applyBorder="1" applyAlignment="1">
      <alignment horizontal="center" vertical="center" shrinkToFit="1"/>
    </xf>
    <xf numFmtId="165" fontId="5" fillId="0" borderId="13" xfId="0" applyNumberFormat="1" applyFont="1" applyFill="1" applyBorder="1" applyAlignment="1">
      <alignment horizontal="center" vertical="center" shrinkToFit="1"/>
    </xf>
    <xf numFmtId="166" fontId="3" fillId="0" borderId="50" xfId="0" applyNumberFormat="1" applyFont="1" applyFill="1" applyBorder="1" applyAlignment="1">
      <alignment horizontal="center" vertical="center" shrinkToFit="1"/>
    </xf>
    <xf numFmtId="165" fontId="3" fillId="0" borderId="48" xfId="0" applyNumberFormat="1" applyFont="1" applyFill="1" applyBorder="1" applyAlignment="1">
      <alignment horizontal="center" vertical="center" shrinkToFit="1"/>
    </xf>
    <xf numFmtId="166" fontId="9" fillId="4" borderId="0" xfId="0" applyNumberFormat="1" applyFont="1" applyFill="1" applyBorder="1" applyAlignment="1">
      <alignment horizontal="center" vertical="center" shrinkToFit="1"/>
    </xf>
    <xf numFmtId="165" fontId="9" fillId="4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12" xfId="0" quotePrefix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164" fontId="30" fillId="0" borderId="8" xfId="0" applyNumberFormat="1" applyFont="1" applyFill="1" applyBorder="1" applyAlignment="1">
      <alignment vertical="center" shrinkToFi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Border="1" applyAlignment="1">
      <alignment horizontal="left" vertical="top" wrapText="1"/>
    </xf>
    <xf numFmtId="1" fontId="20" fillId="0" borderId="48" xfId="0" applyNumberFormat="1" applyFont="1" applyFill="1" applyBorder="1" applyAlignment="1">
      <alignment horizontal="center" vertical="center" shrinkToFit="1"/>
    </xf>
    <xf numFmtId="1" fontId="20" fillId="0" borderId="10" xfId="0" applyNumberFormat="1" applyFont="1" applyFill="1" applyBorder="1" applyAlignment="1">
      <alignment horizontal="center" vertical="center" shrinkToFit="1"/>
    </xf>
    <xf numFmtId="1" fontId="20" fillId="0" borderId="13" xfId="0" applyNumberFormat="1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/>
    </xf>
    <xf numFmtId="1" fontId="20" fillId="0" borderId="17" xfId="0" applyNumberFormat="1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1" fontId="20" fillId="0" borderId="25" xfId="0" applyNumberFormat="1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/>
    </xf>
    <xf numFmtId="1" fontId="20" fillId="0" borderId="8" xfId="0" applyNumberFormat="1" applyFont="1" applyFill="1" applyBorder="1" applyAlignment="1">
      <alignment horizontal="center" vertical="center" shrinkToFit="1"/>
    </xf>
    <xf numFmtId="0" fontId="24" fillId="8" borderId="22" xfId="0" applyFont="1" applyFill="1" applyBorder="1" applyAlignment="1">
      <alignment horizontal="center" vertical="center" wrapText="1"/>
    </xf>
    <xf numFmtId="1" fontId="24" fillId="8" borderId="23" xfId="0" applyNumberFormat="1" applyFont="1" applyFill="1" applyBorder="1" applyAlignment="1">
      <alignment horizontal="center" vertical="center" wrapText="1"/>
    </xf>
    <xf numFmtId="0" fontId="20" fillId="0" borderId="4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top" wrapText="1"/>
    </xf>
    <xf numFmtId="0" fontId="36" fillId="4" borderId="11" xfId="0" applyFont="1" applyFill="1" applyBorder="1" applyAlignment="1">
      <alignment horizontal="center" vertical="top" wrapText="1"/>
    </xf>
    <xf numFmtId="0" fontId="38" fillId="7" borderId="0" xfId="0" applyFont="1" applyFill="1" applyAlignment="1">
      <alignment horizontal="center" vertical="top" wrapText="1"/>
    </xf>
    <xf numFmtId="167" fontId="36" fillId="4" borderId="26" xfId="0" applyNumberFormat="1" applyFont="1" applyFill="1" applyBorder="1" applyAlignment="1">
      <alignment horizontal="center" vertical="center" wrapText="1"/>
    </xf>
    <xf numFmtId="167" fontId="36" fillId="4" borderId="48" xfId="0" applyNumberFormat="1" applyFont="1" applyFill="1" applyBorder="1" applyAlignment="1">
      <alignment horizontal="center" vertical="center" wrapText="1"/>
    </xf>
    <xf numFmtId="167" fontId="36" fillId="4" borderId="0" xfId="0" applyNumberFormat="1" applyFont="1" applyFill="1" applyBorder="1" applyAlignment="1">
      <alignment horizontal="center" vertical="center" wrapText="1"/>
    </xf>
    <xf numFmtId="167" fontId="36" fillId="4" borderId="10" xfId="0" applyNumberFormat="1" applyFont="1" applyFill="1" applyBorder="1" applyAlignment="1">
      <alignment horizontal="center" vertical="center" wrapText="1"/>
    </xf>
    <xf numFmtId="167" fontId="36" fillId="4" borderId="11" xfId="0" applyNumberFormat="1" applyFont="1" applyFill="1" applyBorder="1" applyAlignment="1">
      <alignment horizontal="center" vertical="center" wrapText="1"/>
    </xf>
    <xf numFmtId="167" fontId="36" fillId="4" borderId="13" xfId="0" applyNumberFormat="1" applyFont="1" applyFill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center" vertical="top" wrapText="1"/>
    </xf>
    <xf numFmtId="167" fontId="36" fillId="4" borderId="14" xfId="0" applyNumberFormat="1" applyFont="1" applyFill="1" applyBorder="1" applyAlignment="1">
      <alignment horizontal="center" vertical="center" wrapText="1"/>
    </xf>
    <xf numFmtId="167" fontId="36" fillId="4" borderId="17" xfId="0" applyNumberFormat="1" applyFont="1" applyFill="1" applyBorder="1" applyAlignment="1">
      <alignment horizontal="center" vertical="center" wrapText="1"/>
    </xf>
    <xf numFmtId="0" fontId="39" fillId="4" borderId="44" xfId="0" applyFont="1" applyFill="1" applyBorder="1" applyAlignment="1">
      <alignment horizontal="center" vertical="center" wrapText="1"/>
    </xf>
    <xf numFmtId="0" fontId="39" fillId="4" borderId="0" xfId="0" applyFont="1" applyFill="1" applyAlignment="1">
      <alignment horizontal="center" vertical="top" wrapText="1"/>
    </xf>
    <xf numFmtId="167" fontId="36" fillId="4" borderId="50" xfId="0" applyNumberFormat="1" applyFont="1" applyFill="1" applyBorder="1" applyAlignment="1">
      <alignment horizontal="center" vertical="center" wrapText="1"/>
    </xf>
    <xf numFmtId="167" fontId="36" fillId="4" borderId="9" xfId="0" applyNumberFormat="1" applyFont="1" applyFill="1" applyBorder="1" applyAlignment="1">
      <alignment horizontal="center" vertical="center" wrapText="1"/>
    </xf>
    <xf numFmtId="167" fontId="35" fillId="4" borderId="56" xfId="0" applyNumberFormat="1" applyFont="1" applyFill="1" applyBorder="1" applyAlignment="1">
      <alignment horizontal="center" vertical="center" wrapText="1"/>
    </xf>
    <xf numFmtId="167" fontId="36" fillId="4" borderId="54" xfId="0" applyNumberFormat="1" applyFont="1" applyFill="1" applyBorder="1" applyAlignment="1">
      <alignment horizontal="center" vertical="center" wrapText="1"/>
    </xf>
    <xf numFmtId="167" fontId="36" fillId="4" borderId="28" xfId="0" applyNumberFormat="1" applyFont="1" applyFill="1" applyBorder="1" applyAlignment="1">
      <alignment horizontal="center" vertical="center" wrapText="1"/>
    </xf>
    <xf numFmtId="167" fontId="36" fillId="4" borderId="25" xfId="0" applyNumberFormat="1" applyFont="1" applyFill="1" applyBorder="1" applyAlignment="1">
      <alignment horizontal="center" vertical="center" wrapText="1"/>
    </xf>
    <xf numFmtId="167" fontId="36" fillId="4" borderId="6" xfId="0" applyNumberFormat="1" applyFont="1" applyFill="1" applyBorder="1" applyAlignment="1">
      <alignment horizontal="center" vertical="center" wrapText="1"/>
    </xf>
    <xf numFmtId="167" fontId="36" fillId="4" borderId="8" xfId="0" applyNumberFormat="1" applyFont="1" applyFill="1" applyBorder="1" applyAlignment="1">
      <alignment horizontal="center" vertical="center" wrapText="1"/>
    </xf>
    <xf numFmtId="167" fontId="35" fillId="4" borderId="11" xfId="0" applyNumberFormat="1" applyFont="1" applyFill="1" applyBorder="1" applyAlignment="1">
      <alignment horizontal="center" vertical="center" wrapText="1"/>
    </xf>
    <xf numFmtId="167" fontId="35" fillId="4" borderId="41" xfId="0" applyNumberFormat="1" applyFont="1" applyFill="1" applyBorder="1" applyAlignment="1">
      <alignment horizontal="center" vertical="center" wrapText="1"/>
    </xf>
    <xf numFmtId="167" fontId="35" fillId="4" borderId="15" xfId="0" applyNumberFormat="1" applyFont="1" applyFill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left" vertical="top" wrapText="1"/>
    </xf>
    <xf numFmtId="0" fontId="10" fillId="4" borderId="42" xfId="0" applyFont="1" applyFill="1" applyBorder="1" applyAlignment="1">
      <alignment horizontal="center" vertical="center" wrapText="1"/>
    </xf>
    <xf numFmtId="1" fontId="10" fillId="4" borderId="42" xfId="0" applyNumberFormat="1" applyFont="1" applyFill="1" applyBorder="1" applyAlignment="1">
      <alignment horizontal="center" vertical="center" wrapText="1"/>
    </xf>
    <xf numFmtId="1" fontId="10" fillId="4" borderId="57" xfId="0" applyNumberFormat="1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left" vertical="top" wrapText="1"/>
    </xf>
    <xf numFmtId="0" fontId="2" fillId="10" borderId="0" xfId="0" applyFont="1" applyFill="1" applyBorder="1" applyAlignment="1">
      <alignment horizontal="left" vertical="top" wrapText="1"/>
    </xf>
    <xf numFmtId="0" fontId="3" fillId="10" borderId="0" xfId="0" applyFont="1" applyFill="1" applyBorder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39" fillId="4" borderId="45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55" xfId="0" applyNumberFormat="1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wrapText="1"/>
    </xf>
    <xf numFmtId="164" fontId="40" fillId="0" borderId="6" xfId="0" applyNumberFormat="1" applyFont="1" applyFill="1" applyBorder="1" applyAlignment="1">
      <alignment horizontal="center" vertical="center" wrapText="1" shrinkToFit="1"/>
    </xf>
    <xf numFmtId="0" fontId="9" fillId="4" borderId="44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166" fontId="5" fillId="0" borderId="6" xfId="0" applyNumberFormat="1" applyFont="1" applyFill="1" applyBorder="1" applyAlignment="1">
      <alignment horizontal="center" vertical="center" shrinkToFit="1"/>
    </xf>
    <xf numFmtId="165" fontId="5" fillId="0" borderId="8" xfId="0" applyNumberFormat="1" applyFont="1" applyFill="1" applyBorder="1" applyAlignment="1">
      <alignment horizontal="center" vertical="center" shrinkToFit="1"/>
    </xf>
    <xf numFmtId="0" fontId="20" fillId="0" borderId="5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10" fillId="0" borderId="14" xfId="0" applyNumberFormat="1" applyFont="1" applyFill="1" applyBorder="1" applyAlignment="1">
      <alignment horizontal="center" vertical="center" wrapText="1" shrinkToFit="1"/>
    </xf>
    <xf numFmtId="164" fontId="10" fillId="0" borderId="17" xfId="0" applyNumberFormat="1" applyFont="1" applyFill="1" applyBorder="1" applyAlignment="1">
      <alignment horizontal="center" vertical="center" shrinkToFit="1"/>
    </xf>
    <xf numFmtId="164" fontId="41" fillId="0" borderId="6" xfId="0" applyNumberFormat="1" applyFont="1" applyFill="1" applyBorder="1" applyAlignment="1">
      <alignment horizontal="center" vertical="center" wrapText="1" shrinkToFit="1"/>
    </xf>
    <xf numFmtId="164" fontId="41" fillId="0" borderId="8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35" fillId="4" borderId="8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top" wrapText="1"/>
    </xf>
    <xf numFmtId="0" fontId="16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/>
    </xf>
    <xf numFmtId="164" fontId="26" fillId="0" borderId="14" xfId="0" applyNumberFormat="1" applyFont="1" applyFill="1" applyBorder="1" applyAlignment="1">
      <alignment horizontal="center" vertical="center" shrinkToFit="1"/>
    </xf>
    <xf numFmtId="164" fontId="26" fillId="0" borderId="17" xfId="0" applyNumberFormat="1" applyFont="1" applyFill="1" applyBorder="1" applyAlignment="1">
      <alignment horizontal="center" vertical="center" shrinkToFit="1"/>
    </xf>
    <xf numFmtId="164" fontId="22" fillId="0" borderId="6" xfId="0" applyNumberFormat="1" applyFont="1" applyFill="1" applyBorder="1" applyAlignment="1">
      <alignment horizontal="center" vertical="center" wrapText="1" shrinkToFit="1"/>
    </xf>
    <xf numFmtId="164" fontId="21" fillId="0" borderId="8" xfId="0" applyNumberFormat="1" applyFont="1" applyFill="1" applyBorder="1" applyAlignment="1">
      <alignment horizontal="center" vertical="center" shrinkToFit="1"/>
    </xf>
    <xf numFmtId="0" fontId="23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6" fillId="0" borderId="14" xfId="0" applyNumberFormat="1" applyFont="1" applyBorder="1" applyAlignment="1">
      <alignment horizontal="center" vertical="center" shrinkToFit="1"/>
    </xf>
    <xf numFmtId="164" fontId="26" fillId="0" borderId="17" xfId="0" applyNumberFormat="1" applyFont="1" applyBorder="1" applyAlignment="1">
      <alignment horizontal="center" vertical="center" shrinkToFit="1"/>
    </xf>
    <xf numFmtId="164" fontId="22" fillId="0" borderId="6" xfId="0" applyNumberFormat="1" applyFont="1" applyBorder="1" applyAlignment="1">
      <alignment horizontal="center" vertical="center" wrapText="1" shrinkToFit="1"/>
    </xf>
    <xf numFmtId="164" fontId="21" fillId="0" borderId="8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1679F8-96D9-407D-AACB-A2FF2FEAC09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3EAC21-8680-42F6-B104-FBCF56FEF74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B06BAE-5381-4CAE-944B-2DD79192B43C}"/>
            </a:ext>
          </a:extLst>
        </xdr:cNvPr>
        <xdr:cNvSpPr txBox="1"/>
      </xdr:nvSpPr>
      <xdr:spPr>
        <a:xfrm>
          <a:off x="104775" y="47626"/>
          <a:ext cx="9467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A9B1DB-89C3-482A-9260-3AE961213B0C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E7B9B0-C6DF-455C-93F6-34C3DF610334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579E88-DE6B-4071-B479-688B044FA3CF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2DEAC-E170-4E48-9210-05525A2A5B0B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1F7F1-C22E-441C-AA42-9E9BA94531F6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C6A3C979-7DA0-4A50-AE1F-680543097C60}">
    <text>Leeds 3 &amp; Coity of Leeds 137 merged</text>
  </threadedComment>
  <threadedComment ref="E11" dT="2020-04-06T08:28:28.24" personId="{DA54EF70-142F-4FF6-91C6-AE9C96AA9A38}" id="{8A4F26D4-4C58-48AE-93F3-06A68D96C387}">
    <text>Sunderland 63 &amp; South Shields 203 merged</text>
  </threadedComment>
  <threadedComment ref="E13" dT="2020-04-06T08:28:59.84" personId="{DA54EF70-142F-4FF6-91C6-AE9C96AA9A38}" id="{B688DCAA-C03F-4BF7-A706-7554F557E546}">
    <text>Ramsgate 76 &amp; Norwood 88 Surrendered</text>
  </threadedComment>
  <threadedComment ref="E15" dT="2020-04-06T08:29:49.43" personId="{DA54EF70-142F-4FF6-91C6-AE9C96AA9A38}" id="{6AA4661F-DE05-44C5-A127-33E35DF7E2BA}">
    <text>Blackburn/Ribble Valley 6 surrendered</text>
  </threadedComment>
  <threadedComment ref="E17" dT="2020-04-06T08:30:17.79" personId="{DA54EF70-142F-4FF6-91C6-AE9C96AA9A38}" id="{E3DDB9E9-F9BD-4003-9D24-3103EA48569F}">
    <text>City of Bristol 240 &amp; Bristol 26 merged</text>
  </threadedComment>
  <threadedComment ref="E18" dT="2020-04-06T08:30:32.26" personId="{DA54EF70-142F-4FF6-91C6-AE9C96AA9A38}" id="{AF7CBF10-4360-417B-AF1E-EE116086F1BD}">
    <text>Southams surrendered</text>
  </threadedComment>
  <threadedComment ref="E30" dT="2019-08-08T10:51:36.45" personId="{55851861-0D48-4E1D-AC0F-A7B0776268C6}" id="{5DF84A5F-68A4-4DCE-99BD-3A6702850DBF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20834BD4-E6F9-4969-9394-3F00A9BB4F3A}">
    <text>Leeds 3 &amp; Coity of Leeds 137 merged</text>
  </threadedComment>
  <threadedComment ref="E11" dT="2020-04-06T08:28:28.24" personId="{DA54EF70-142F-4FF6-91C6-AE9C96AA9A38}" id="{2E696FBB-75CD-471F-9F79-CA093C636213}">
    <text>Sunderland 63 &amp; South Shields 203 merged</text>
  </threadedComment>
  <threadedComment ref="E13" dT="2020-04-06T08:28:59.84" personId="{DA54EF70-142F-4FF6-91C6-AE9C96AA9A38}" id="{CC570E85-5674-4DF6-8C7A-F2007EA1672B}">
    <text>Ramsgate 76 &amp; Norwood 88 Surrendered</text>
  </threadedComment>
  <threadedComment ref="E15" dT="2020-04-06T08:29:49.43" personId="{DA54EF70-142F-4FF6-91C6-AE9C96AA9A38}" id="{E1BBB2D0-82A1-4FEB-AEB4-06AAA9A18F69}">
    <text>Blackburn/Ribble Valley 6 surrendered</text>
  </threadedComment>
  <threadedComment ref="E17" dT="2020-04-06T08:30:17.79" personId="{DA54EF70-142F-4FF6-91C6-AE9C96AA9A38}" id="{EE0814B5-2937-4363-86B1-2AB9F323B10C}">
    <text>City of Bristol 240 &amp; Bristol 26 merged</text>
  </threadedComment>
  <threadedComment ref="E18" dT="2020-04-06T08:30:32.26" personId="{DA54EF70-142F-4FF6-91C6-AE9C96AA9A38}" id="{84841DDB-F049-43A9-A7D9-C406541CB4E3}">
    <text>Southams surrendered</text>
  </threadedComment>
  <threadedComment ref="E30" dT="2019-08-08T10:51:36.45" personId="{55851861-0D48-4E1D-AC0F-A7B0776268C6}" id="{A501B79D-281A-4E79-AA61-BB576AF93064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9.xml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67A6-D470-4F46-8536-C23B42A75A29}">
  <dimension ref="A1:AI5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6" sqref="D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8"/>
      <c r="Z2" s="698"/>
      <c r="AA2" s="698"/>
      <c r="AB2" s="698"/>
      <c r="AC2" s="698"/>
      <c r="AD2" s="698"/>
      <c r="AE2" s="698"/>
      <c r="AF2" s="698"/>
    </row>
    <row r="3" spans="1:34" s="6" customFormat="1" ht="37.5" customHeight="1" x14ac:dyDescent="0.2">
      <c r="A3" s="686" t="s">
        <v>104</v>
      </c>
      <c r="B3" s="621"/>
      <c r="C3" s="30"/>
      <c r="D3" s="699" t="s">
        <v>61</v>
      </c>
      <c r="E3" s="701" t="s">
        <v>101</v>
      </c>
      <c r="F3" s="702"/>
      <c r="G3" s="31"/>
      <c r="H3" s="703" t="s">
        <v>107</v>
      </c>
      <c r="I3" s="704"/>
      <c r="J3" s="30"/>
      <c r="K3" s="705" t="s">
        <v>36</v>
      </c>
      <c r="L3" s="706"/>
      <c r="M3" s="645" t="s">
        <v>71</v>
      </c>
      <c r="N3" s="707" t="s">
        <v>73</v>
      </c>
      <c r="O3" s="32"/>
      <c r="P3" s="709" t="s">
        <v>69</v>
      </c>
      <c r="Q3" s="710"/>
      <c r="R3" s="710"/>
      <c r="S3" s="710"/>
      <c r="T3" s="710"/>
      <c r="U3" s="710"/>
      <c r="V3" s="710"/>
      <c r="W3" s="710"/>
      <c r="X3" s="711"/>
      <c r="Y3" s="32"/>
      <c r="Z3" s="712" t="s">
        <v>60</v>
      </c>
      <c r="AA3" s="713"/>
      <c r="AB3" s="714"/>
      <c r="AC3" s="714"/>
      <c r="AD3" s="714"/>
      <c r="AE3" s="714"/>
      <c r="AF3" s="30"/>
    </row>
    <row r="4" spans="1:34" s="6" customFormat="1" ht="38.25" x14ac:dyDescent="0.2">
      <c r="A4" s="622" t="s">
        <v>19</v>
      </c>
      <c r="B4" s="623" t="s">
        <v>45</v>
      </c>
      <c r="C4" s="16"/>
      <c r="D4" s="700"/>
      <c r="E4" s="685" t="s">
        <v>105</v>
      </c>
      <c r="F4" s="685" t="s">
        <v>106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646" t="s">
        <v>74</v>
      </c>
      <c r="N4" s="708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624"/>
      <c r="B5" s="625"/>
      <c r="C5" s="16"/>
      <c r="D5" s="15"/>
      <c r="E5" s="16"/>
      <c r="F5" s="15"/>
      <c r="G5" s="15"/>
      <c r="H5" s="17"/>
      <c r="I5" s="17"/>
      <c r="J5" s="17"/>
      <c r="K5" s="18"/>
      <c r="L5" s="19"/>
      <c r="M5" s="647"/>
      <c r="N5" s="647"/>
      <c r="O5" s="67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693">
        <v>180</v>
      </c>
      <c r="B6" s="626">
        <v>31</v>
      </c>
      <c r="C6" s="416"/>
      <c r="D6" s="466" t="s">
        <v>1</v>
      </c>
      <c r="E6" s="638">
        <v>8</v>
      </c>
      <c r="F6" s="468">
        <v>9</v>
      </c>
      <c r="G6" s="420"/>
      <c r="H6" s="502">
        <v>170</v>
      </c>
      <c r="I6" s="465">
        <v>30</v>
      </c>
      <c r="J6" s="423"/>
      <c r="K6" s="470">
        <f t="shared" ref="K6:K24" si="0">H6-A6</f>
        <v>-10</v>
      </c>
      <c r="L6" s="471">
        <f t="shared" ref="L6:L24" si="1">SUM(K6/A6*100)</f>
        <v>-5.5555555555555554</v>
      </c>
      <c r="M6" s="648">
        <f t="shared" ref="M6:M24" si="2">SUM(A6+P6-S6-U6-X6)</f>
        <v>171</v>
      </c>
      <c r="N6" s="649">
        <f t="shared" ref="N6:N24" si="3">SUM(H6-M6)</f>
        <v>-1</v>
      </c>
      <c r="O6" s="426"/>
      <c r="P6" s="475">
        <v>0</v>
      </c>
      <c r="Q6" s="475">
        <v>1</v>
      </c>
      <c r="R6" s="476"/>
      <c r="S6" s="504">
        <v>5</v>
      </c>
      <c r="T6" s="617" t="s">
        <v>97</v>
      </c>
      <c r="U6" s="505">
        <v>4</v>
      </c>
      <c r="V6" s="617" t="s">
        <v>97</v>
      </c>
      <c r="W6" s="476"/>
      <c r="X6" s="480">
        <v>0</v>
      </c>
      <c r="Y6" s="426"/>
      <c r="Z6" s="481">
        <v>75</v>
      </c>
      <c r="AA6" s="465">
        <v>24</v>
      </c>
      <c r="AB6" s="423"/>
      <c r="AC6" s="506">
        <v>0</v>
      </c>
      <c r="AD6" s="507">
        <v>15</v>
      </c>
      <c r="AE6" s="508">
        <v>67</v>
      </c>
      <c r="AF6" s="45"/>
      <c r="AH6" s="2" t="s">
        <v>0</v>
      </c>
    </row>
    <row r="7" spans="1:34" ht="21.75" customHeight="1" x14ac:dyDescent="0.2">
      <c r="A7" s="694">
        <v>389</v>
      </c>
      <c r="B7" s="627">
        <v>43</v>
      </c>
      <c r="C7" s="21"/>
      <c r="D7" s="99" t="s">
        <v>2</v>
      </c>
      <c r="E7" s="639">
        <v>16</v>
      </c>
      <c r="F7" s="142">
        <v>16</v>
      </c>
      <c r="G7" s="22"/>
      <c r="H7" s="44">
        <v>387</v>
      </c>
      <c r="I7" s="62">
        <v>43</v>
      </c>
      <c r="J7" s="45"/>
      <c r="K7" s="78">
        <f t="shared" si="0"/>
        <v>-2</v>
      </c>
      <c r="L7" s="79">
        <f t="shared" si="1"/>
        <v>-0.51413881748071977</v>
      </c>
      <c r="M7" s="650">
        <f t="shared" si="2"/>
        <v>384</v>
      </c>
      <c r="N7" s="651">
        <f t="shared" si="3"/>
        <v>3</v>
      </c>
      <c r="O7" s="28"/>
      <c r="P7" s="7">
        <v>1</v>
      </c>
      <c r="Q7" s="7">
        <v>1</v>
      </c>
      <c r="R7" s="125"/>
      <c r="S7" s="42">
        <v>5</v>
      </c>
      <c r="T7" s="154" t="s">
        <v>97</v>
      </c>
      <c r="U7" s="43">
        <v>1</v>
      </c>
      <c r="V7" s="154" t="s">
        <v>97</v>
      </c>
      <c r="W7" s="125"/>
      <c r="X7" s="41">
        <v>0</v>
      </c>
      <c r="Y7" s="28"/>
      <c r="Z7" s="484">
        <v>70</v>
      </c>
      <c r="AA7" s="62">
        <v>21</v>
      </c>
      <c r="AB7" s="45"/>
      <c r="AC7" s="71">
        <v>52</v>
      </c>
      <c r="AD7" s="51">
        <v>11</v>
      </c>
      <c r="AE7" s="510">
        <v>67</v>
      </c>
      <c r="AF7" s="45"/>
    </row>
    <row r="8" spans="1:34" ht="21.75" customHeight="1" x14ac:dyDescent="0.2">
      <c r="A8" s="694">
        <v>233</v>
      </c>
      <c r="B8" s="627">
        <v>6</v>
      </c>
      <c r="C8" s="21"/>
      <c r="D8" s="99" t="s">
        <v>34</v>
      </c>
      <c r="E8" s="639">
        <v>8</v>
      </c>
      <c r="F8" s="142">
        <v>8</v>
      </c>
      <c r="G8" s="22"/>
      <c r="H8" s="44">
        <v>226</v>
      </c>
      <c r="I8" s="62">
        <v>6</v>
      </c>
      <c r="J8" s="45"/>
      <c r="K8" s="78">
        <f t="shared" si="0"/>
        <v>-7</v>
      </c>
      <c r="L8" s="79">
        <f t="shared" si="1"/>
        <v>-3.0042918454935621</v>
      </c>
      <c r="M8" s="650">
        <f t="shared" si="2"/>
        <v>226</v>
      </c>
      <c r="N8" s="651">
        <f t="shared" si="3"/>
        <v>0</v>
      </c>
      <c r="O8" s="28"/>
      <c r="P8" s="7">
        <v>1</v>
      </c>
      <c r="Q8" s="7">
        <v>0</v>
      </c>
      <c r="R8" s="125"/>
      <c r="S8" s="39">
        <v>6</v>
      </c>
      <c r="T8" s="154" t="s">
        <v>97</v>
      </c>
      <c r="U8" s="43">
        <v>2</v>
      </c>
      <c r="V8" s="154" t="s">
        <v>97</v>
      </c>
      <c r="W8" s="125"/>
      <c r="X8" s="41">
        <v>0</v>
      </c>
      <c r="Y8" s="28"/>
      <c r="Z8" s="484">
        <v>71</v>
      </c>
      <c r="AA8" s="62">
        <v>24</v>
      </c>
      <c r="AB8" s="45"/>
      <c r="AC8" s="153">
        <v>32</v>
      </c>
      <c r="AD8" s="51">
        <v>15</v>
      </c>
      <c r="AE8" s="510">
        <v>67</v>
      </c>
      <c r="AF8" s="45"/>
    </row>
    <row r="9" spans="1:34" ht="21.75" customHeight="1" x14ac:dyDescent="0.2">
      <c r="A9" s="694">
        <v>141</v>
      </c>
      <c r="B9" s="627">
        <v>27</v>
      </c>
      <c r="C9" s="21"/>
      <c r="D9" s="99" t="s">
        <v>35</v>
      </c>
      <c r="E9" s="639">
        <v>8</v>
      </c>
      <c r="F9" s="142">
        <v>8</v>
      </c>
      <c r="G9" s="22"/>
      <c r="H9" s="44">
        <v>136</v>
      </c>
      <c r="I9" s="62">
        <v>26</v>
      </c>
      <c r="J9" s="45"/>
      <c r="K9" s="78">
        <f t="shared" si="0"/>
        <v>-5</v>
      </c>
      <c r="L9" s="79">
        <f t="shared" si="1"/>
        <v>-3.5460992907801421</v>
      </c>
      <c r="M9" s="650">
        <f t="shared" si="2"/>
        <v>136</v>
      </c>
      <c r="N9" s="651">
        <f t="shared" si="3"/>
        <v>0</v>
      </c>
      <c r="O9" s="28"/>
      <c r="P9" s="7">
        <v>0</v>
      </c>
      <c r="Q9" s="7">
        <v>0</v>
      </c>
      <c r="R9" s="125"/>
      <c r="S9" s="39">
        <v>4</v>
      </c>
      <c r="T9" s="154" t="s">
        <v>97</v>
      </c>
      <c r="U9" s="43">
        <v>1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31</v>
      </c>
      <c r="AE9" s="511">
        <v>79</v>
      </c>
      <c r="AF9" s="45"/>
    </row>
    <row r="10" spans="1:34" ht="21.75" customHeight="1" x14ac:dyDescent="0.2">
      <c r="A10" s="694">
        <v>295</v>
      </c>
      <c r="B10" s="627">
        <v>32</v>
      </c>
      <c r="C10" s="21"/>
      <c r="D10" s="99" t="s">
        <v>3</v>
      </c>
      <c r="E10" s="639">
        <v>11</v>
      </c>
      <c r="F10" s="142">
        <v>11</v>
      </c>
      <c r="G10" s="22"/>
      <c r="H10" s="44">
        <v>292</v>
      </c>
      <c r="I10" s="62">
        <v>28</v>
      </c>
      <c r="J10" s="45"/>
      <c r="K10" s="78">
        <f t="shared" si="0"/>
        <v>-3</v>
      </c>
      <c r="L10" s="79">
        <f t="shared" si="1"/>
        <v>-1.0169491525423728</v>
      </c>
      <c r="M10" s="650">
        <f t="shared" si="2"/>
        <v>292</v>
      </c>
      <c r="N10" s="651">
        <f t="shared" si="3"/>
        <v>0</v>
      </c>
      <c r="O10" s="28"/>
      <c r="P10" s="7">
        <v>1</v>
      </c>
      <c r="Q10" s="7">
        <v>0</v>
      </c>
      <c r="R10" s="125"/>
      <c r="S10" s="42">
        <v>1</v>
      </c>
      <c r="T10" s="154" t="s">
        <v>97</v>
      </c>
      <c r="U10" s="43">
        <v>2</v>
      </c>
      <c r="V10" s="154" t="s">
        <v>97</v>
      </c>
      <c r="W10" s="125"/>
      <c r="X10" s="41">
        <v>1</v>
      </c>
      <c r="Y10" s="28"/>
      <c r="Z10" s="484">
        <v>73</v>
      </c>
      <c r="AA10" s="62">
        <v>22</v>
      </c>
      <c r="AB10" s="45"/>
      <c r="AC10" s="71">
        <v>32</v>
      </c>
      <c r="AD10" s="51">
        <v>11</v>
      </c>
      <c r="AE10" s="510">
        <v>55</v>
      </c>
      <c r="AF10" s="45"/>
    </row>
    <row r="11" spans="1:34" ht="21.75" customHeight="1" x14ac:dyDescent="0.2">
      <c r="A11" s="694">
        <v>271</v>
      </c>
      <c r="B11" s="627">
        <v>25</v>
      </c>
      <c r="C11" s="21"/>
      <c r="D11" s="99" t="s">
        <v>4</v>
      </c>
      <c r="E11" s="639">
        <v>13</v>
      </c>
      <c r="F11" s="142">
        <v>13</v>
      </c>
      <c r="G11" s="22"/>
      <c r="H11" s="44">
        <v>257</v>
      </c>
      <c r="I11" s="62">
        <v>26</v>
      </c>
      <c r="J11" s="45"/>
      <c r="K11" s="78">
        <f t="shared" si="0"/>
        <v>-14</v>
      </c>
      <c r="L11" s="79">
        <f t="shared" si="1"/>
        <v>-5.1660516605166054</v>
      </c>
      <c r="M11" s="650">
        <f t="shared" si="2"/>
        <v>259</v>
      </c>
      <c r="N11" s="651">
        <f t="shared" si="3"/>
        <v>-2</v>
      </c>
      <c r="O11" s="28"/>
      <c r="P11" s="7">
        <v>0</v>
      </c>
      <c r="Q11" s="7">
        <v>3</v>
      </c>
      <c r="R11" s="125"/>
      <c r="S11" s="39">
        <v>9</v>
      </c>
      <c r="T11" s="154" t="s">
        <v>97</v>
      </c>
      <c r="U11" s="40">
        <v>2</v>
      </c>
      <c r="V11" s="154" t="s">
        <v>97</v>
      </c>
      <c r="W11" s="125"/>
      <c r="X11" s="41">
        <v>1</v>
      </c>
      <c r="Y11" s="28"/>
      <c r="Z11" s="484">
        <v>72</v>
      </c>
      <c r="AA11" s="62">
        <v>24</v>
      </c>
      <c r="AB11" s="45"/>
      <c r="AC11" s="152">
        <v>0</v>
      </c>
      <c r="AD11" s="7">
        <v>13</v>
      </c>
      <c r="AE11" s="446">
        <v>74</v>
      </c>
      <c r="AF11" s="45"/>
    </row>
    <row r="12" spans="1:34" ht="21.75" customHeight="1" x14ac:dyDescent="0.2">
      <c r="A12" s="694">
        <v>615</v>
      </c>
      <c r="B12" s="627">
        <v>49</v>
      </c>
      <c r="C12" s="21"/>
      <c r="D12" s="99" t="s">
        <v>5</v>
      </c>
      <c r="E12" s="639">
        <v>23</v>
      </c>
      <c r="F12" s="142">
        <v>23</v>
      </c>
      <c r="G12" s="22"/>
      <c r="H12" s="44">
        <v>610</v>
      </c>
      <c r="I12" s="62">
        <v>49</v>
      </c>
      <c r="J12" s="45"/>
      <c r="K12" s="78">
        <f t="shared" si="0"/>
        <v>-5</v>
      </c>
      <c r="L12" s="79">
        <f t="shared" si="1"/>
        <v>-0.81300813008130091</v>
      </c>
      <c r="M12" s="650">
        <f t="shared" si="2"/>
        <v>612</v>
      </c>
      <c r="N12" s="651">
        <f t="shared" si="3"/>
        <v>-2</v>
      </c>
      <c r="O12" s="28"/>
      <c r="P12" s="7">
        <v>7</v>
      </c>
      <c r="Q12" s="7">
        <v>3</v>
      </c>
      <c r="R12" s="125"/>
      <c r="S12" s="42">
        <v>3</v>
      </c>
      <c r="T12" s="154" t="s">
        <v>97</v>
      </c>
      <c r="U12" s="43">
        <v>7</v>
      </c>
      <c r="V12" s="154" t="s">
        <v>97</v>
      </c>
      <c r="W12" s="125"/>
      <c r="X12" s="41">
        <v>0</v>
      </c>
      <c r="Y12" s="28"/>
      <c r="Z12" s="484">
        <v>72</v>
      </c>
      <c r="AA12" s="62">
        <v>23</v>
      </c>
      <c r="AB12" s="45"/>
      <c r="AC12" s="109">
        <v>67</v>
      </c>
      <c r="AD12" s="51">
        <v>9</v>
      </c>
      <c r="AE12" s="510">
        <v>70</v>
      </c>
      <c r="AF12" s="45"/>
    </row>
    <row r="13" spans="1:34" ht="21.75" customHeight="1" x14ac:dyDescent="0.2">
      <c r="A13" s="694">
        <v>273</v>
      </c>
      <c r="B13" s="627">
        <v>24</v>
      </c>
      <c r="C13" s="21"/>
      <c r="D13" s="99" t="s">
        <v>6</v>
      </c>
      <c r="E13" s="639">
        <v>12</v>
      </c>
      <c r="F13" s="142">
        <v>12</v>
      </c>
      <c r="G13" s="22"/>
      <c r="H13" s="44">
        <v>264</v>
      </c>
      <c r="I13" s="62">
        <v>24</v>
      </c>
      <c r="J13" s="45"/>
      <c r="K13" s="78">
        <f t="shared" si="0"/>
        <v>-9</v>
      </c>
      <c r="L13" s="79">
        <f t="shared" si="1"/>
        <v>-3.296703296703297</v>
      </c>
      <c r="M13" s="650">
        <f t="shared" si="2"/>
        <v>264</v>
      </c>
      <c r="N13" s="651">
        <f t="shared" si="3"/>
        <v>0</v>
      </c>
      <c r="O13" s="28"/>
      <c r="P13" s="7">
        <v>0</v>
      </c>
      <c r="Q13" s="7">
        <v>0</v>
      </c>
      <c r="R13" s="125"/>
      <c r="S13" s="39">
        <v>5</v>
      </c>
      <c r="T13" s="154" t="s">
        <v>97</v>
      </c>
      <c r="U13" s="43">
        <v>3</v>
      </c>
      <c r="V13" s="154" t="s">
        <v>97</v>
      </c>
      <c r="W13" s="125"/>
      <c r="X13" s="41">
        <v>1</v>
      </c>
      <c r="Y13" s="28"/>
      <c r="Z13" s="484">
        <v>72</v>
      </c>
      <c r="AA13" s="62">
        <v>25</v>
      </c>
      <c r="AB13" s="45"/>
      <c r="AC13" s="71">
        <v>0</v>
      </c>
      <c r="AD13" s="51">
        <v>19</v>
      </c>
      <c r="AE13" s="510">
        <v>67</v>
      </c>
      <c r="AF13" s="45"/>
    </row>
    <row r="14" spans="1:34" ht="21.75" customHeight="1" x14ac:dyDescent="0.2">
      <c r="A14" s="694">
        <v>562</v>
      </c>
      <c r="B14" s="627">
        <v>51</v>
      </c>
      <c r="C14" s="21"/>
      <c r="D14" s="99" t="s">
        <v>7</v>
      </c>
      <c r="E14" s="639">
        <v>18</v>
      </c>
      <c r="F14" s="142">
        <v>18</v>
      </c>
      <c r="G14" s="22"/>
      <c r="H14" s="44">
        <v>556</v>
      </c>
      <c r="I14" s="62">
        <v>50</v>
      </c>
      <c r="J14" s="45"/>
      <c r="K14" s="78">
        <f t="shared" si="0"/>
        <v>-6</v>
      </c>
      <c r="L14" s="79">
        <f t="shared" si="1"/>
        <v>-1.0676156583629894</v>
      </c>
      <c r="M14" s="650">
        <f t="shared" si="2"/>
        <v>556</v>
      </c>
      <c r="N14" s="651">
        <f t="shared" si="3"/>
        <v>0</v>
      </c>
      <c r="O14" s="28"/>
      <c r="P14" s="7">
        <v>4</v>
      </c>
      <c r="Q14" s="7">
        <v>0</v>
      </c>
      <c r="R14" s="125"/>
      <c r="S14" s="42">
        <v>9</v>
      </c>
      <c r="T14" s="154" t="s">
        <v>97</v>
      </c>
      <c r="U14" s="43">
        <v>1</v>
      </c>
      <c r="V14" s="154" t="s">
        <v>97</v>
      </c>
      <c r="W14" s="125"/>
      <c r="X14" s="41">
        <v>0</v>
      </c>
      <c r="Y14" s="28"/>
      <c r="Z14" s="484">
        <v>71</v>
      </c>
      <c r="AA14" s="62">
        <v>20</v>
      </c>
      <c r="AB14" s="45"/>
      <c r="AC14" s="71">
        <v>50</v>
      </c>
      <c r="AD14" s="7">
        <v>9</v>
      </c>
      <c r="AE14" s="446">
        <v>62</v>
      </c>
      <c r="AF14" s="45"/>
    </row>
    <row r="15" spans="1:34" ht="21.75" customHeight="1" x14ac:dyDescent="0.2">
      <c r="A15" s="694">
        <v>282</v>
      </c>
      <c r="B15" s="627">
        <v>19</v>
      </c>
      <c r="C15" s="21"/>
      <c r="D15" s="99" t="s">
        <v>8</v>
      </c>
      <c r="E15" s="639">
        <v>14</v>
      </c>
      <c r="F15" s="142">
        <v>14</v>
      </c>
      <c r="G15" s="22"/>
      <c r="H15" s="44">
        <v>275</v>
      </c>
      <c r="I15" s="62">
        <v>20</v>
      </c>
      <c r="J15" s="45"/>
      <c r="K15" s="78">
        <f t="shared" si="0"/>
        <v>-7</v>
      </c>
      <c r="L15" s="79">
        <f t="shared" si="1"/>
        <v>-2.4822695035460995</v>
      </c>
      <c r="M15" s="650">
        <f t="shared" si="2"/>
        <v>274</v>
      </c>
      <c r="N15" s="651">
        <f t="shared" si="3"/>
        <v>1</v>
      </c>
      <c r="O15" s="28"/>
      <c r="P15" s="7">
        <v>0</v>
      </c>
      <c r="Q15" s="7">
        <v>1</v>
      </c>
      <c r="R15" s="125"/>
      <c r="S15" s="39">
        <v>4</v>
      </c>
      <c r="T15" s="154" t="s">
        <v>97</v>
      </c>
      <c r="U15" s="43">
        <v>3</v>
      </c>
      <c r="V15" s="154" t="s">
        <v>97</v>
      </c>
      <c r="W15" s="125"/>
      <c r="X15" s="41">
        <v>1</v>
      </c>
      <c r="Y15" s="28"/>
      <c r="Z15" s="484">
        <v>72</v>
      </c>
      <c r="AA15" s="62">
        <v>26</v>
      </c>
      <c r="AB15" s="45"/>
      <c r="AC15" s="71">
        <v>0</v>
      </c>
      <c r="AD15" s="51">
        <v>16</v>
      </c>
      <c r="AE15" s="510">
        <v>65</v>
      </c>
      <c r="AF15" s="45"/>
    </row>
    <row r="16" spans="1:34" ht="21.75" customHeight="1" x14ac:dyDescent="0.2">
      <c r="A16" s="694">
        <v>457</v>
      </c>
      <c r="B16" s="627">
        <v>29</v>
      </c>
      <c r="C16" s="21"/>
      <c r="D16" s="99" t="s">
        <v>9</v>
      </c>
      <c r="E16" s="639">
        <v>17</v>
      </c>
      <c r="F16" s="142">
        <v>17</v>
      </c>
      <c r="G16" s="22"/>
      <c r="H16" s="44">
        <v>445</v>
      </c>
      <c r="I16" s="62">
        <v>29</v>
      </c>
      <c r="J16" s="45"/>
      <c r="K16" s="78">
        <f t="shared" si="0"/>
        <v>-12</v>
      </c>
      <c r="L16" s="79">
        <f t="shared" si="1"/>
        <v>-2.6258205689277898</v>
      </c>
      <c r="M16" s="650">
        <f t="shared" si="2"/>
        <v>443</v>
      </c>
      <c r="N16" s="651">
        <f t="shared" si="3"/>
        <v>2</v>
      </c>
      <c r="O16" s="28"/>
      <c r="P16" s="7">
        <v>0</v>
      </c>
      <c r="Q16" s="7">
        <v>1</v>
      </c>
      <c r="R16" s="125"/>
      <c r="S16" s="39">
        <v>8</v>
      </c>
      <c r="T16" s="154" t="s">
        <v>97</v>
      </c>
      <c r="U16" s="40">
        <v>6</v>
      </c>
      <c r="V16" s="154" t="s">
        <v>97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17</v>
      </c>
      <c r="AE16" s="510">
        <v>72</v>
      </c>
      <c r="AF16" s="45"/>
    </row>
    <row r="17" spans="1:35" ht="21.75" customHeight="1" x14ac:dyDescent="0.2">
      <c r="A17" s="694">
        <v>343</v>
      </c>
      <c r="B17" s="627">
        <v>45</v>
      </c>
      <c r="C17" s="21"/>
      <c r="D17" s="99" t="s">
        <v>10</v>
      </c>
      <c r="E17" s="639">
        <v>15</v>
      </c>
      <c r="F17" s="142">
        <v>15</v>
      </c>
      <c r="G17" s="22"/>
      <c r="H17" s="44">
        <v>340</v>
      </c>
      <c r="I17" s="62">
        <v>46</v>
      </c>
      <c r="J17" s="45"/>
      <c r="K17" s="78">
        <f t="shared" si="0"/>
        <v>-3</v>
      </c>
      <c r="L17" s="79">
        <f t="shared" si="1"/>
        <v>-0.87463556851311952</v>
      </c>
      <c r="M17" s="650">
        <f t="shared" si="2"/>
        <v>338</v>
      </c>
      <c r="N17" s="651">
        <f t="shared" si="3"/>
        <v>2</v>
      </c>
      <c r="O17" s="28"/>
      <c r="P17" s="7">
        <v>2</v>
      </c>
      <c r="Q17" s="7">
        <v>5</v>
      </c>
      <c r="R17" s="125"/>
      <c r="S17" s="39">
        <v>4</v>
      </c>
      <c r="T17" s="154" t="s">
        <v>97</v>
      </c>
      <c r="U17" s="43">
        <v>3</v>
      </c>
      <c r="V17" s="154" t="s">
        <v>97</v>
      </c>
      <c r="W17" s="125"/>
      <c r="X17" s="41">
        <v>0</v>
      </c>
      <c r="Y17" s="28"/>
      <c r="Z17" s="484">
        <v>74</v>
      </c>
      <c r="AA17" s="62">
        <v>23</v>
      </c>
      <c r="AB17" s="45"/>
      <c r="AC17" s="109">
        <v>73</v>
      </c>
      <c r="AD17" s="7">
        <v>10</v>
      </c>
      <c r="AE17" s="446">
        <v>58</v>
      </c>
      <c r="AF17" s="45"/>
    </row>
    <row r="18" spans="1:35" ht="21.75" customHeight="1" x14ac:dyDescent="0.2">
      <c r="A18" s="694">
        <v>168</v>
      </c>
      <c r="B18" s="627">
        <v>14</v>
      </c>
      <c r="C18" s="21"/>
      <c r="D18" s="99" t="s">
        <v>11</v>
      </c>
      <c r="E18" s="639">
        <v>8</v>
      </c>
      <c r="F18" s="142">
        <v>8</v>
      </c>
      <c r="G18" s="22"/>
      <c r="H18" s="44">
        <v>163</v>
      </c>
      <c r="I18" s="62">
        <v>16</v>
      </c>
      <c r="J18" s="45"/>
      <c r="K18" s="395">
        <f t="shared" si="0"/>
        <v>-5</v>
      </c>
      <c r="L18" s="396">
        <f t="shared" si="1"/>
        <v>-2.9761904761904758</v>
      </c>
      <c r="M18" s="650">
        <f t="shared" si="2"/>
        <v>164</v>
      </c>
      <c r="N18" s="651">
        <f t="shared" si="3"/>
        <v>-1</v>
      </c>
      <c r="O18" s="28"/>
      <c r="P18" s="7">
        <v>3</v>
      </c>
      <c r="Q18" s="7">
        <v>1</v>
      </c>
      <c r="R18" s="125"/>
      <c r="S18" s="42">
        <v>4</v>
      </c>
      <c r="T18" s="154" t="s">
        <v>97</v>
      </c>
      <c r="U18" s="43">
        <v>3</v>
      </c>
      <c r="V18" s="154" t="s">
        <v>97</v>
      </c>
      <c r="W18" s="125"/>
      <c r="X18" s="41">
        <v>0</v>
      </c>
      <c r="Y18" s="28"/>
      <c r="Z18" s="484">
        <v>71</v>
      </c>
      <c r="AA18" s="62">
        <v>21</v>
      </c>
      <c r="AB18" s="45"/>
      <c r="AC18" s="399">
        <v>51</v>
      </c>
      <c r="AD18" s="7">
        <v>11</v>
      </c>
      <c r="AE18" s="446">
        <v>56</v>
      </c>
      <c r="AF18" s="45"/>
    </row>
    <row r="19" spans="1:35" ht="21.75" customHeight="1" x14ac:dyDescent="0.2">
      <c r="A19" s="694">
        <v>360</v>
      </c>
      <c r="B19" s="627">
        <v>25</v>
      </c>
      <c r="C19" s="21"/>
      <c r="D19" s="99" t="s">
        <v>12</v>
      </c>
      <c r="E19" s="639">
        <v>14</v>
      </c>
      <c r="F19" s="142">
        <v>14</v>
      </c>
      <c r="G19" s="22"/>
      <c r="H19" s="44">
        <v>356</v>
      </c>
      <c r="I19" s="62">
        <v>25</v>
      </c>
      <c r="J19" s="45"/>
      <c r="K19" s="78">
        <f t="shared" si="0"/>
        <v>-4</v>
      </c>
      <c r="L19" s="79">
        <f t="shared" si="1"/>
        <v>-1.1111111111111112</v>
      </c>
      <c r="M19" s="650">
        <f t="shared" si="2"/>
        <v>355</v>
      </c>
      <c r="N19" s="651">
        <f t="shared" si="3"/>
        <v>1</v>
      </c>
      <c r="O19" s="28"/>
      <c r="P19" s="7">
        <v>2</v>
      </c>
      <c r="Q19" s="7">
        <v>0</v>
      </c>
      <c r="R19" s="125"/>
      <c r="S19" s="42">
        <v>4</v>
      </c>
      <c r="T19" s="154" t="s">
        <v>97</v>
      </c>
      <c r="U19" s="43">
        <v>3</v>
      </c>
      <c r="V19" s="154" t="s">
        <v>97</v>
      </c>
      <c r="W19" s="125"/>
      <c r="X19" s="41">
        <v>0</v>
      </c>
      <c r="Y19" s="28"/>
      <c r="Z19" s="484">
        <v>70</v>
      </c>
      <c r="AA19" s="62">
        <v>21</v>
      </c>
      <c r="AB19" s="45"/>
      <c r="AC19" s="152">
        <v>70</v>
      </c>
      <c r="AD19" s="7">
        <v>23</v>
      </c>
      <c r="AE19" s="446">
        <v>63</v>
      </c>
      <c r="AF19" s="45"/>
    </row>
    <row r="20" spans="1:35" ht="21.75" customHeight="1" x14ac:dyDescent="0.2">
      <c r="A20" s="694">
        <v>291</v>
      </c>
      <c r="B20" s="627">
        <v>10</v>
      </c>
      <c r="C20" s="21"/>
      <c r="D20" s="99" t="s">
        <v>13</v>
      </c>
      <c r="E20" s="639">
        <v>11</v>
      </c>
      <c r="F20" s="142">
        <v>11</v>
      </c>
      <c r="G20" s="22"/>
      <c r="H20" s="44">
        <v>287</v>
      </c>
      <c r="I20" s="62">
        <v>10</v>
      </c>
      <c r="J20" s="45"/>
      <c r="K20" s="78">
        <f t="shared" si="0"/>
        <v>-4</v>
      </c>
      <c r="L20" s="79">
        <f t="shared" si="1"/>
        <v>-1.3745704467353952</v>
      </c>
      <c r="M20" s="650">
        <f t="shared" si="2"/>
        <v>286</v>
      </c>
      <c r="N20" s="651">
        <f t="shared" si="3"/>
        <v>1</v>
      </c>
      <c r="O20" s="28"/>
      <c r="P20" s="7">
        <v>0</v>
      </c>
      <c r="Q20" s="7">
        <v>1</v>
      </c>
      <c r="R20" s="125"/>
      <c r="S20" s="42">
        <v>3</v>
      </c>
      <c r="T20" s="154" t="s">
        <v>97</v>
      </c>
      <c r="U20" s="43">
        <v>2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0</v>
      </c>
      <c r="AD20" s="7">
        <v>21</v>
      </c>
      <c r="AE20" s="446">
        <v>67</v>
      </c>
      <c r="AF20" s="45"/>
    </row>
    <row r="21" spans="1:35" ht="21.75" customHeight="1" x14ac:dyDescent="0.2">
      <c r="A21" s="694">
        <v>299</v>
      </c>
      <c r="B21" s="627">
        <v>26</v>
      </c>
      <c r="C21" s="21"/>
      <c r="D21" s="99" t="s">
        <v>14</v>
      </c>
      <c r="E21" s="639">
        <v>11</v>
      </c>
      <c r="F21" s="142">
        <v>11</v>
      </c>
      <c r="G21" s="22"/>
      <c r="H21" s="44">
        <v>295</v>
      </c>
      <c r="I21" s="62">
        <v>25</v>
      </c>
      <c r="J21" s="45"/>
      <c r="K21" s="78">
        <f t="shared" si="0"/>
        <v>-4</v>
      </c>
      <c r="L21" s="79">
        <f t="shared" si="1"/>
        <v>-1.3377926421404682</v>
      </c>
      <c r="M21" s="650">
        <f t="shared" si="2"/>
        <v>293</v>
      </c>
      <c r="N21" s="651">
        <f t="shared" si="3"/>
        <v>2</v>
      </c>
      <c r="O21" s="28"/>
      <c r="P21" s="7">
        <v>0</v>
      </c>
      <c r="Q21" s="7">
        <v>0</v>
      </c>
      <c r="R21" s="125"/>
      <c r="S21" s="42">
        <v>3</v>
      </c>
      <c r="T21" s="154" t="s">
        <v>97</v>
      </c>
      <c r="U21" s="43">
        <v>3</v>
      </c>
      <c r="V21" s="154" t="s">
        <v>97</v>
      </c>
      <c r="W21" s="125"/>
      <c r="X21" s="41">
        <v>0</v>
      </c>
      <c r="Y21" s="28"/>
      <c r="Z21" s="484">
        <v>73</v>
      </c>
      <c r="AA21" s="62">
        <v>23</v>
      </c>
      <c r="AB21" s="45"/>
      <c r="AC21" s="109">
        <v>0</v>
      </c>
      <c r="AD21" s="7">
        <v>20</v>
      </c>
      <c r="AE21" s="446">
        <v>74</v>
      </c>
      <c r="AF21" s="45"/>
    </row>
    <row r="22" spans="1:35" ht="21.75" customHeight="1" x14ac:dyDescent="0.2">
      <c r="A22" s="694">
        <v>251</v>
      </c>
      <c r="B22" s="627">
        <v>29</v>
      </c>
      <c r="C22" s="21"/>
      <c r="D22" s="99" t="s">
        <v>15</v>
      </c>
      <c r="E22" s="639">
        <v>12</v>
      </c>
      <c r="F22" s="142">
        <v>12</v>
      </c>
      <c r="G22" s="22"/>
      <c r="H22" s="44">
        <v>247</v>
      </c>
      <c r="I22" s="62">
        <v>28</v>
      </c>
      <c r="J22" s="45"/>
      <c r="K22" s="78">
        <f t="shared" si="0"/>
        <v>-4</v>
      </c>
      <c r="L22" s="79">
        <f t="shared" si="1"/>
        <v>-1.593625498007968</v>
      </c>
      <c r="M22" s="650">
        <f t="shared" si="2"/>
        <v>247</v>
      </c>
      <c r="N22" s="651">
        <f t="shared" si="3"/>
        <v>0</v>
      </c>
      <c r="O22" s="28"/>
      <c r="P22" s="7">
        <v>3</v>
      </c>
      <c r="Q22" s="7">
        <v>0</v>
      </c>
      <c r="R22" s="125"/>
      <c r="S22" s="42">
        <v>4</v>
      </c>
      <c r="T22" s="154" t="s">
        <v>97</v>
      </c>
      <c r="U22" s="43">
        <v>3</v>
      </c>
      <c r="V22" s="154" t="s">
        <v>97</v>
      </c>
      <c r="W22" s="125"/>
      <c r="X22" s="41">
        <v>0</v>
      </c>
      <c r="Y22" s="28"/>
      <c r="Z22" s="484">
        <v>75</v>
      </c>
      <c r="AA22" s="62">
        <v>25</v>
      </c>
      <c r="AB22" s="45"/>
      <c r="AC22" s="109">
        <v>62</v>
      </c>
      <c r="AD22" s="154">
        <v>15</v>
      </c>
      <c r="AE22" s="485">
        <v>69</v>
      </c>
      <c r="AF22" s="45"/>
      <c r="AH22" s="355" t="s">
        <v>0</v>
      </c>
    </row>
    <row r="23" spans="1:35" ht="21.75" customHeight="1" x14ac:dyDescent="0.2">
      <c r="A23" s="694">
        <v>694</v>
      </c>
      <c r="B23" s="627">
        <v>58</v>
      </c>
      <c r="C23" s="21"/>
      <c r="D23" s="99" t="s">
        <v>16</v>
      </c>
      <c r="E23" s="639">
        <v>22</v>
      </c>
      <c r="F23" s="142">
        <v>22</v>
      </c>
      <c r="G23" s="22"/>
      <c r="H23" s="44">
        <v>677</v>
      </c>
      <c r="I23" s="62">
        <v>57</v>
      </c>
      <c r="J23" s="45"/>
      <c r="K23" s="78">
        <f t="shared" si="0"/>
        <v>-17</v>
      </c>
      <c r="L23" s="79">
        <f t="shared" si="1"/>
        <v>-2.4495677233429394</v>
      </c>
      <c r="M23" s="650">
        <f t="shared" si="2"/>
        <v>678</v>
      </c>
      <c r="N23" s="651">
        <f t="shared" si="3"/>
        <v>-1</v>
      </c>
      <c r="O23" s="28"/>
      <c r="P23" s="7">
        <v>3</v>
      </c>
      <c r="Q23" s="7">
        <v>0</v>
      </c>
      <c r="R23" s="125"/>
      <c r="S23" s="42">
        <v>13</v>
      </c>
      <c r="T23" s="154" t="s">
        <v>97</v>
      </c>
      <c r="U23" s="43">
        <v>3</v>
      </c>
      <c r="V23" s="154" t="s">
        <v>97</v>
      </c>
      <c r="W23" s="125"/>
      <c r="X23" s="41">
        <v>3</v>
      </c>
      <c r="Y23" s="28"/>
      <c r="Z23" s="484">
        <v>70</v>
      </c>
      <c r="AA23" s="62">
        <v>19</v>
      </c>
      <c r="AB23" s="45"/>
      <c r="AC23" s="109">
        <v>60</v>
      </c>
      <c r="AD23" s="7">
        <v>10</v>
      </c>
      <c r="AE23" s="446">
        <v>56</v>
      </c>
      <c r="AF23" s="45"/>
    </row>
    <row r="24" spans="1:35" ht="21.75" customHeight="1" x14ac:dyDescent="0.2">
      <c r="A24" s="695">
        <v>154</v>
      </c>
      <c r="B24" s="628">
        <v>22</v>
      </c>
      <c r="C24" s="21"/>
      <c r="D24" s="402" t="s">
        <v>17</v>
      </c>
      <c r="E24" s="640">
        <v>9</v>
      </c>
      <c r="F24" s="404">
        <v>8</v>
      </c>
      <c r="G24" s="22"/>
      <c r="H24" s="400">
        <v>126</v>
      </c>
      <c r="I24" s="401">
        <v>22</v>
      </c>
      <c r="J24" s="45"/>
      <c r="K24" s="609">
        <f t="shared" si="0"/>
        <v>-28</v>
      </c>
      <c r="L24" s="610">
        <f t="shared" si="1"/>
        <v>-18.181818181818183</v>
      </c>
      <c r="M24" s="652">
        <f t="shared" si="2"/>
        <v>126</v>
      </c>
      <c r="N24" s="653">
        <f t="shared" si="3"/>
        <v>0</v>
      </c>
      <c r="O24" s="28"/>
      <c r="P24" s="407">
        <v>1</v>
      </c>
      <c r="Q24" s="407">
        <v>0</v>
      </c>
      <c r="R24" s="408"/>
      <c r="S24" s="409">
        <v>24</v>
      </c>
      <c r="T24" s="618" t="s">
        <v>97</v>
      </c>
      <c r="U24" s="410">
        <v>1</v>
      </c>
      <c r="V24" s="618" t="s">
        <v>97</v>
      </c>
      <c r="W24" s="408"/>
      <c r="X24" s="411">
        <v>4</v>
      </c>
      <c r="Y24" s="28"/>
      <c r="Z24" s="412">
        <v>70</v>
      </c>
      <c r="AA24" s="401">
        <v>20</v>
      </c>
      <c r="AB24" s="45"/>
      <c r="AC24" s="413">
        <v>48</v>
      </c>
      <c r="AD24" s="407">
        <v>22</v>
      </c>
      <c r="AE24" s="513">
        <v>66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654"/>
      <c r="N25" s="654"/>
      <c r="O25" s="678"/>
      <c r="P25" s="67"/>
      <c r="Q25" s="67"/>
      <c r="R25" s="127"/>
      <c r="S25" s="68"/>
      <c r="T25" s="67"/>
      <c r="U25" s="69"/>
      <c r="V25" s="67"/>
      <c r="W25" s="127"/>
      <c r="X25" s="67"/>
      <c r="Y25" s="678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629">
        <v>1</v>
      </c>
      <c r="B26" s="630">
        <v>0</v>
      </c>
      <c r="C26" s="21"/>
      <c r="D26" s="94" t="s">
        <v>89</v>
      </c>
      <c r="E26" s="641">
        <v>2</v>
      </c>
      <c r="F26" s="143">
        <v>3</v>
      </c>
      <c r="G26" s="22"/>
      <c r="H26" s="53">
        <v>1</v>
      </c>
      <c r="I26" s="72">
        <v>0</v>
      </c>
      <c r="J26" s="45"/>
      <c r="K26" s="397">
        <f>H26-A26</f>
        <v>0</v>
      </c>
      <c r="L26" s="398">
        <f>SUM(K26/A26*100)</f>
        <v>0</v>
      </c>
      <c r="M26" s="655">
        <f>SUM(A26+P26-S26-U26-X26)</f>
        <v>1</v>
      </c>
      <c r="N26" s="656">
        <f>SUM(H26-M26)</f>
        <v>0</v>
      </c>
      <c r="O26" s="679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679"/>
      <c r="Z26" s="73">
        <v>87</v>
      </c>
      <c r="AA26" s="105">
        <v>41</v>
      </c>
      <c r="AB26" s="45"/>
      <c r="AC26" s="110">
        <v>0</v>
      </c>
      <c r="AD26" s="155">
        <v>0</v>
      </c>
      <c r="AE26" s="441">
        <v>0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654"/>
      <c r="N27" s="654"/>
      <c r="O27" s="678"/>
      <c r="P27" s="67"/>
      <c r="Q27" s="67"/>
      <c r="R27" s="127"/>
      <c r="S27" s="68"/>
      <c r="T27" s="67"/>
      <c r="U27" s="69"/>
      <c r="V27" s="67"/>
      <c r="W27" s="127"/>
      <c r="X27" s="67"/>
      <c r="Y27" s="678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629">
        <v>42</v>
      </c>
      <c r="B28" s="630">
        <v>12</v>
      </c>
      <c r="C28" s="308"/>
      <c r="D28" s="94" t="s">
        <v>67</v>
      </c>
      <c r="E28" s="641">
        <v>3</v>
      </c>
      <c r="F28" s="143">
        <v>3</v>
      </c>
      <c r="G28" s="22"/>
      <c r="H28" s="306">
        <v>38</v>
      </c>
      <c r="I28" s="307">
        <v>12</v>
      </c>
      <c r="J28" s="309"/>
      <c r="K28" s="95">
        <f>H28-A28</f>
        <v>-4</v>
      </c>
      <c r="L28" s="96">
        <f>SUM(K28/A28*100)</f>
        <v>-9.5238095238095237</v>
      </c>
      <c r="M28" s="655">
        <f>SUM(A28+P28-S28-U28-X28)</f>
        <v>38</v>
      </c>
      <c r="N28" s="656">
        <f>SUM(H28-M28)</f>
        <v>0</v>
      </c>
      <c r="O28" s="680"/>
      <c r="P28" s="311">
        <v>0</v>
      </c>
      <c r="Q28" s="312">
        <v>0</v>
      </c>
      <c r="R28" s="313"/>
      <c r="S28" s="314">
        <v>2</v>
      </c>
      <c r="T28" s="319" t="s">
        <v>97</v>
      </c>
      <c r="U28" s="315">
        <v>2</v>
      </c>
      <c r="V28" s="319" t="s">
        <v>97</v>
      </c>
      <c r="W28" s="316"/>
      <c r="X28" s="143">
        <v>0</v>
      </c>
      <c r="Y28" s="680"/>
      <c r="Z28" s="317">
        <v>76</v>
      </c>
      <c r="AA28" s="307">
        <v>31</v>
      </c>
      <c r="AB28" s="309"/>
      <c r="AC28" s="318">
        <v>0</v>
      </c>
      <c r="AD28" s="319">
        <v>12</v>
      </c>
      <c r="AE28" s="450">
        <v>70</v>
      </c>
      <c r="AF28" s="309"/>
    </row>
    <row r="29" spans="1:35" s="11" customFormat="1" ht="6.75" customHeight="1" x14ac:dyDescent="0.2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654"/>
      <c r="N29" s="654"/>
      <c r="O29" s="681"/>
      <c r="P29" s="67"/>
      <c r="Q29" s="67"/>
      <c r="R29" s="127"/>
      <c r="S29" s="68"/>
      <c r="T29" s="67"/>
      <c r="U29" s="69"/>
      <c r="V29" s="67"/>
      <c r="W29" s="127"/>
      <c r="X29" s="67"/>
      <c r="Y29" s="681"/>
      <c r="Z29" s="68"/>
      <c r="AA29" s="66"/>
      <c r="AB29" s="683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517">
        <f>SUM(A6:A28)</f>
        <v>6301</v>
      </c>
      <c r="B30" s="517">
        <f>SUM(B28:B29,B26,B6:B24)</f>
        <v>577</v>
      </c>
      <c r="C30" s="454"/>
      <c r="D30" s="455" t="s">
        <v>58</v>
      </c>
      <c r="E30" s="517">
        <f>SUM(E28:E29,E26,E6:E24)</f>
        <v>255</v>
      </c>
      <c r="F30" s="517">
        <f>SUM(F28:F29,F26,F6:F24)</f>
        <v>256</v>
      </c>
      <c r="G30" s="456"/>
      <c r="H30" s="517">
        <f>SUM(H6:H28)</f>
        <v>6148</v>
      </c>
      <c r="I30" s="517">
        <f>SUM(I28:I29,I26,I6:I24)</f>
        <v>572</v>
      </c>
      <c r="J30" s="457"/>
      <c r="K30" s="687">
        <f>SUM(K28:K29,K26,K6:K24)</f>
        <v>-153</v>
      </c>
      <c r="L30" s="687">
        <f>SUM(L28:L29,L26,L6:L24)</f>
        <v>-68.511624651659631</v>
      </c>
      <c r="M30" s="657">
        <f>SUM(M28:M29,M26,M6:M24)</f>
        <v>6143</v>
      </c>
      <c r="N30" s="682">
        <f>SUM(N28:N29,N26,N6:N24)</f>
        <v>5</v>
      </c>
      <c r="O30" s="674"/>
      <c r="P30" s="675">
        <f>SUM(P28:P29,P26,P6:P24)</f>
        <v>28</v>
      </c>
      <c r="Q30" s="675">
        <f>SUM(Q28:Q29,Q26,Q6:Q24)</f>
        <v>17</v>
      </c>
      <c r="R30" s="496"/>
      <c r="S30" s="675">
        <f>SUM(S28:S29,S26,S6:S24)</f>
        <v>120</v>
      </c>
      <c r="T30" s="675">
        <f>SUM(T28:T29,T26,T6:T24)</f>
        <v>0</v>
      </c>
      <c r="U30" s="675">
        <f>SUM(U28:U29,U26,U6:U24)</f>
        <v>55</v>
      </c>
      <c r="V30" s="675">
        <f>SUM(V28:V29,V26,V6:V24)</f>
        <v>0</v>
      </c>
      <c r="W30" s="496"/>
      <c r="X30" s="675">
        <f>SUM(X28:X29,X26,X6:X24)</f>
        <v>11</v>
      </c>
      <c r="Y30" s="674"/>
      <c r="Z30" s="676">
        <f>SUM(Z6,Z7,Z8,Z9,Z10,Z11,Z12,Z13,Z14,Z15,Z16,Z17,Z18,Z19,Z20,Z21,Z22,Z23,Z24,Z26,Z28)/21</f>
        <v>72.80952380952381</v>
      </c>
      <c r="AA30" s="676">
        <f>SUM(AA6,AA7,AA8,AA9,AA10,AA11,AA12,AA13,AA14,AA15,AA16,AA17,AA18,AA19,AA20,AA21,AA22,AA23,AA24,AA26,AA28)/21</f>
        <v>23.904761904761905</v>
      </c>
      <c r="AB30" s="684"/>
      <c r="AC30" s="676">
        <f>SUM(AC7,AC8,AC10,AC12,AC14,AC17,AC18,AC19,AC22,AC23,AC24)/11</f>
        <v>54.272727272727273</v>
      </c>
      <c r="AD30" s="676">
        <f>SUM(AD6,AD7,AD8,AD9,AD10,AD11,AD12,AD13,AD14,AD15,AD16,AD17,AD18,AD19,AD20,AD21,AD22,AD23,AD24,AD28)/20</f>
        <v>15.5</v>
      </c>
      <c r="AE30" s="677">
        <f>SUM(AE6,AE7,AE8,AE9,AE10,AE11,AE12,AE13,AE14,AE15,AE16,AE17,AE18,AE19,AE20,AE21,AE22,AE23,AE24,AE28)/20</f>
        <v>66.2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658"/>
      <c r="N31" s="658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696">
        <v>388</v>
      </c>
      <c r="B32" s="626">
        <v>25</v>
      </c>
      <c r="C32" s="416"/>
      <c r="D32" s="466" t="s">
        <v>38</v>
      </c>
      <c r="E32" s="638">
        <v>13</v>
      </c>
      <c r="F32" s="468">
        <v>13</v>
      </c>
      <c r="G32" s="420"/>
      <c r="H32" s="469">
        <v>383</v>
      </c>
      <c r="I32" s="465">
        <v>25</v>
      </c>
      <c r="J32" s="423"/>
      <c r="K32" s="611">
        <f>H32-A32</f>
        <v>-5</v>
      </c>
      <c r="L32" s="612">
        <f>SUM(K32/A32*100)</f>
        <v>-1.2886597938144329</v>
      </c>
      <c r="M32" s="659">
        <f>SUM(A32+P32-S32-U32-X32)</f>
        <v>383</v>
      </c>
      <c r="N32" s="649">
        <f>SUM(H32-M32)</f>
        <v>0</v>
      </c>
      <c r="O32" s="426"/>
      <c r="P32" s="475">
        <v>3</v>
      </c>
      <c r="Q32" s="475">
        <v>2</v>
      </c>
      <c r="R32" s="476"/>
      <c r="S32" s="477">
        <v>4</v>
      </c>
      <c r="T32" s="617" t="s">
        <v>97</v>
      </c>
      <c r="U32" s="478">
        <v>4</v>
      </c>
      <c r="V32" s="617" t="s">
        <v>97</v>
      </c>
      <c r="W32" s="479"/>
      <c r="X32" s="480">
        <v>0</v>
      </c>
      <c r="Y32" s="426"/>
      <c r="Z32" s="481">
        <v>72</v>
      </c>
      <c r="AA32" s="465">
        <v>15</v>
      </c>
      <c r="AB32" s="423"/>
      <c r="AC32" s="482">
        <v>63</v>
      </c>
      <c r="AD32" s="475">
        <v>8</v>
      </c>
      <c r="AE32" s="483">
        <v>70</v>
      </c>
      <c r="AF32" s="45"/>
    </row>
    <row r="33" spans="1:32" ht="21.75" customHeight="1" x14ac:dyDescent="0.2">
      <c r="A33" s="631">
        <v>376</v>
      </c>
      <c r="B33" s="627">
        <v>12</v>
      </c>
      <c r="C33" s="21"/>
      <c r="D33" s="99" t="s">
        <v>39</v>
      </c>
      <c r="E33" s="639">
        <v>15</v>
      </c>
      <c r="F33" s="142">
        <v>15</v>
      </c>
      <c r="G33" s="22"/>
      <c r="H33" s="50">
        <v>367</v>
      </c>
      <c r="I33" s="62">
        <v>12</v>
      </c>
      <c r="J33" s="45"/>
      <c r="K33" s="78">
        <f>H33-A33</f>
        <v>-9</v>
      </c>
      <c r="L33" s="79">
        <f>SUM(K33/A33*100)</f>
        <v>-2.3936170212765959</v>
      </c>
      <c r="M33" s="660">
        <f>SUM(A33+P33-S33-U33-X33)</f>
        <v>367</v>
      </c>
      <c r="N33" s="651">
        <f>SUM(H33-M33)</f>
        <v>0</v>
      </c>
      <c r="O33" s="28"/>
      <c r="P33" s="7">
        <v>5</v>
      </c>
      <c r="Q33" s="7">
        <v>0</v>
      </c>
      <c r="R33" s="125"/>
      <c r="S33" s="42">
        <v>10</v>
      </c>
      <c r="T33" s="154" t="s">
        <v>97</v>
      </c>
      <c r="U33" s="43">
        <v>4</v>
      </c>
      <c r="V33" s="154" t="s">
        <v>97</v>
      </c>
      <c r="W33" s="132"/>
      <c r="X33" s="41">
        <v>0</v>
      </c>
      <c r="Y33" s="28"/>
      <c r="Z33" s="484">
        <v>73</v>
      </c>
      <c r="AA33" s="62">
        <v>17</v>
      </c>
      <c r="AB33" s="45"/>
      <c r="AC33" s="109">
        <v>73</v>
      </c>
      <c r="AD33" s="7">
        <v>13</v>
      </c>
      <c r="AE33" s="446">
        <v>67</v>
      </c>
      <c r="AF33" s="45"/>
    </row>
    <row r="34" spans="1:32" ht="21.75" customHeight="1" x14ac:dyDescent="0.2">
      <c r="A34" s="631">
        <v>88</v>
      </c>
      <c r="B34" s="627">
        <v>8</v>
      </c>
      <c r="C34" s="21"/>
      <c r="D34" s="99" t="s">
        <v>40</v>
      </c>
      <c r="E34" s="639">
        <v>5</v>
      </c>
      <c r="F34" s="142">
        <v>5</v>
      </c>
      <c r="G34" s="22"/>
      <c r="H34" s="50">
        <v>89</v>
      </c>
      <c r="I34" s="62">
        <v>8</v>
      </c>
      <c r="J34" s="45"/>
      <c r="K34" s="78">
        <f>H34-A34</f>
        <v>1</v>
      </c>
      <c r="L34" s="79">
        <f>SUM(K34/A34*100)</f>
        <v>1.1363636363636365</v>
      </c>
      <c r="M34" s="660">
        <f>SUM(A34+P34-S34-U34-X34)</f>
        <v>89</v>
      </c>
      <c r="N34" s="651">
        <f>SUM(H34-M34)</f>
        <v>0</v>
      </c>
      <c r="O34" s="28"/>
      <c r="P34" s="7">
        <v>1</v>
      </c>
      <c r="Q34" s="7">
        <v>0</v>
      </c>
      <c r="R34" s="125"/>
      <c r="S34" s="42">
        <v>0</v>
      </c>
      <c r="T34" s="154" t="s">
        <v>97</v>
      </c>
      <c r="U34" s="43">
        <v>0</v>
      </c>
      <c r="V34" s="154" t="s">
        <v>97</v>
      </c>
      <c r="W34" s="132"/>
      <c r="X34" s="41">
        <v>0</v>
      </c>
      <c r="Y34" s="28"/>
      <c r="Z34" s="484">
        <v>76</v>
      </c>
      <c r="AA34" s="62">
        <v>18</v>
      </c>
      <c r="AB34" s="45"/>
      <c r="AC34" s="152">
        <v>77</v>
      </c>
      <c r="AD34" s="7">
        <v>0</v>
      </c>
      <c r="AE34" s="446">
        <v>0</v>
      </c>
      <c r="AF34" s="45"/>
    </row>
    <row r="35" spans="1:32" ht="21.75" customHeight="1" x14ac:dyDescent="0.2">
      <c r="A35" s="631">
        <v>15</v>
      </c>
      <c r="B35" s="627">
        <v>0</v>
      </c>
      <c r="C35" s="21"/>
      <c r="D35" s="99" t="s">
        <v>63</v>
      </c>
      <c r="E35" s="639">
        <v>1</v>
      </c>
      <c r="F35" s="142">
        <v>1</v>
      </c>
      <c r="G35" s="22"/>
      <c r="H35" s="50">
        <v>15</v>
      </c>
      <c r="I35" s="62">
        <v>0</v>
      </c>
      <c r="J35" s="45"/>
      <c r="K35" s="78">
        <f>H35-A35</f>
        <v>0</v>
      </c>
      <c r="L35" s="79">
        <f>SUM(K35/A35*100)</f>
        <v>0</v>
      </c>
      <c r="M35" s="660">
        <f>SUM(A35+P35-S35-U35-X35)</f>
        <v>15</v>
      </c>
      <c r="N35" s="651">
        <v>0</v>
      </c>
      <c r="O35" s="28"/>
      <c r="P35" s="7">
        <v>0</v>
      </c>
      <c r="Q35" s="7">
        <v>0</v>
      </c>
      <c r="R35" s="125"/>
      <c r="S35" s="42">
        <v>0</v>
      </c>
      <c r="T35" s="154" t="s">
        <v>97</v>
      </c>
      <c r="U35" s="43">
        <v>0</v>
      </c>
      <c r="V35" s="154" t="s">
        <v>97</v>
      </c>
      <c r="W35" s="132"/>
      <c r="X35" s="41">
        <v>0</v>
      </c>
      <c r="Y35" s="28"/>
      <c r="Z35" s="71">
        <v>75</v>
      </c>
      <c r="AA35" s="62">
        <v>7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90">
        <f>SUM(A32:A35)</f>
        <v>867</v>
      </c>
      <c r="B36" s="487">
        <f>SUM(B32:B35)</f>
        <v>45</v>
      </c>
      <c r="C36" s="454"/>
      <c r="D36" s="488" t="s">
        <v>59</v>
      </c>
      <c r="E36" s="489">
        <f>SUM(E32:E35)</f>
        <v>34</v>
      </c>
      <c r="F36" s="489">
        <f>SUM(F32:F35)</f>
        <v>34</v>
      </c>
      <c r="G36" s="456"/>
      <c r="H36" s="490">
        <f>SUM(H32:H35)</f>
        <v>854</v>
      </c>
      <c r="I36" s="487">
        <f>SUM(I32:I35)</f>
        <v>45</v>
      </c>
      <c r="J36" s="457"/>
      <c r="K36" s="491">
        <f>SUM(K32:K35)</f>
        <v>-13</v>
      </c>
      <c r="L36" s="492">
        <f>SUM(K36/A36*100)</f>
        <v>-1.4994232987312572</v>
      </c>
      <c r="M36" s="661">
        <f>SUM(M32:M35)</f>
        <v>854</v>
      </c>
      <c r="N36" s="662">
        <f>SUM(H36-M36)</f>
        <v>0</v>
      </c>
      <c r="O36" s="460"/>
      <c r="P36" s="495">
        <f>SUM(P32:P35)</f>
        <v>9</v>
      </c>
      <c r="Q36" s="495">
        <f>SUM(Q32:Q35)</f>
        <v>2</v>
      </c>
      <c r="R36" s="496"/>
      <c r="S36" s="495">
        <f>SUM(S32:S35)</f>
        <v>14</v>
      </c>
      <c r="T36" s="495">
        <f>SUM(T32:T35)</f>
        <v>0</v>
      </c>
      <c r="U36" s="495">
        <f>SUM(U32:U35)</f>
        <v>8</v>
      </c>
      <c r="V36" s="495">
        <f>SUM(V32:V35)</f>
        <v>0</v>
      </c>
      <c r="W36" s="496"/>
      <c r="X36" s="487">
        <f>SUM(X32:X35)</f>
        <v>0</v>
      </c>
      <c r="Y36" s="460"/>
      <c r="Z36" s="497">
        <f>SUM(Z32:Z35)/4</f>
        <v>74</v>
      </c>
      <c r="AA36" s="498">
        <f>SUM(AA32:AA35)/4</f>
        <v>14.25</v>
      </c>
      <c r="AB36" s="457"/>
      <c r="AC36" s="497">
        <f>SUM(AC32,AC33,AC34)/3</f>
        <v>71</v>
      </c>
      <c r="AD36" s="499">
        <f>SUM(AD32:AD35)/2</f>
        <v>10.5</v>
      </c>
      <c r="AE36" s="500">
        <f>SUM(AE32:AE35)/2</f>
        <v>68.5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658"/>
      <c r="N37" s="658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632">
        <v>95</v>
      </c>
      <c r="B38" s="633">
        <v>2</v>
      </c>
      <c r="C38" s="416"/>
      <c r="D38" s="417" t="s">
        <v>79</v>
      </c>
      <c r="E38" s="642">
        <v>3</v>
      </c>
      <c r="F38" s="419">
        <v>3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663">
        <f>SUM(A38+P38-S38-U38-X38)</f>
        <v>95</v>
      </c>
      <c r="N38" s="664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51</v>
      </c>
      <c r="AA38" s="422">
        <v>4</v>
      </c>
      <c r="AB38" s="423"/>
      <c r="AC38" s="435">
        <v>0</v>
      </c>
      <c r="AD38" s="436">
        <v>0</v>
      </c>
      <c r="AE38" s="437">
        <v>0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 t="s">
        <v>0</v>
      </c>
      <c r="F39" s="138" t="s">
        <v>0</v>
      </c>
      <c r="G39" s="76"/>
      <c r="H39" s="74"/>
      <c r="I39" s="68"/>
      <c r="J39" s="68"/>
      <c r="K39" s="65"/>
      <c r="L39" s="66"/>
      <c r="M39" s="654"/>
      <c r="N39" s="654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629">
        <v>25</v>
      </c>
      <c r="B40" s="630">
        <v>0</v>
      </c>
      <c r="C40" s="21"/>
      <c r="D40" s="94" t="s">
        <v>80</v>
      </c>
      <c r="E40" s="641">
        <v>1</v>
      </c>
      <c r="F40" s="143">
        <v>1</v>
      </c>
      <c r="G40" s="22"/>
      <c r="H40" s="53">
        <v>26</v>
      </c>
      <c r="I40" s="72">
        <v>0</v>
      </c>
      <c r="J40" s="45"/>
      <c r="K40" s="397">
        <f>H40-A40</f>
        <v>1</v>
      </c>
      <c r="L40" s="398">
        <f>SUM(K40/A40*100)</f>
        <v>4</v>
      </c>
      <c r="M40" s="655">
        <f>SUM(A40+P40-S40-U40-X40)</f>
        <v>26</v>
      </c>
      <c r="N40" s="656">
        <f>SUM(H40-M40)</f>
        <v>0</v>
      </c>
      <c r="O40" s="28"/>
      <c r="P40" s="54">
        <v>1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48</v>
      </c>
      <c r="AA40" s="72">
        <v>4</v>
      </c>
      <c r="AB40" s="45"/>
      <c r="AC40" s="110">
        <v>49</v>
      </c>
      <c r="AD40" s="155">
        <v>0</v>
      </c>
      <c r="AE40" s="441">
        <v>0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654"/>
      <c r="N41" s="654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634">
        <v>269</v>
      </c>
      <c r="B42" s="635">
        <v>13</v>
      </c>
      <c r="C42" s="21"/>
      <c r="D42" s="98" t="s">
        <v>41</v>
      </c>
      <c r="E42" s="643">
        <v>10</v>
      </c>
      <c r="F42" s="141">
        <v>10</v>
      </c>
      <c r="G42" s="22"/>
      <c r="H42" s="91">
        <v>273</v>
      </c>
      <c r="I42" s="61">
        <v>13</v>
      </c>
      <c r="J42" s="45"/>
      <c r="K42" s="691">
        <f>H42-A42</f>
        <v>4</v>
      </c>
      <c r="L42" s="692">
        <f>SUM(K42/A42*100)</f>
        <v>1.486988847583643</v>
      </c>
      <c r="M42" s="665">
        <f>SUM(A42+P42-S42-U42-X42)</f>
        <v>273</v>
      </c>
      <c r="N42" s="666">
        <f>SUM(H42-M42)</f>
        <v>0</v>
      </c>
      <c r="O42" s="28"/>
      <c r="P42" s="80">
        <v>11</v>
      </c>
      <c r="Q42" s="81">
        <v>0</v>
      </c>
      <c r="R42" s="124"/>
      <c r="S42" s="92">
        <v>6</v>
      </c>
      <c r="T42" s="156" t="s">
        <v>97</v>
      </c>
      <c r="U42" s="93">
        <v>0</v>
      </c>
      <c r="V42" s="156" t="s">
        <v>97</v>
      </c>
      <c r="W42" s="131"/>
      <c r="X42" s="82">
        <v>1</v>
      </c>
      <c r="Y42" s="28"/>
      <c r="Z42" s="70">
        <v>60</v>
      </c>
      <c r="AA42" s="61">
        <v>7</v>
      </c>
      <c r="AB42" s="45"/>
      <c r="AC42" s="108">
        <v>49</v>
      </c>
      <c r="AD42" s="156">
        <v>5</v>
      </c>
      <c r="AE42" s="444">
        <v>40</v>
      </c>
      <c r="AF42" s="45"/>
    </row>
    <row r="43" spans="1:32" ht="21.75" customHeight="1" x14ac:dyDescent="0.2">
      <c r="A43" s="631">
        <v>112</v>
      </c>
      <c r="B43" s="627">
        <v>5</v>
      </c>
      <c r="C43" s="21"/>
      <c r="D43" s="99" t="s">
        <v>42</v>
      </c>
      <c r="E43" s="639">
        <v>5</v>
      </c>
      <c r="F43" s="142">
        <v>5</v>
      </c>
      <c r="G43" s="22"/>
      <c r="H43" s="50">
        <v>105</v>
      </c>
      <c r="I43" s="62">
        <v>5</v>
      </c>
      <c r="J43" s="45"/>
      <c r="K43" s="78">
        <f>H43-A43</f>
        <v>-7</v>
      </c>
      <c r="L43" s="79">
        <f>SUM(K43/A43*100)</f>
        <v>-6.25</v>
      </c>
      <c r="M43" s="660">
        <f>SUM(A43+P43-S43-U43-X43)</f>
        <v>106</v>
      </c>
      <c r="N43" s="651">
        <f>SUM(H43-M43)</f>
        <v>-1</v>
      </c>
      <c r="O43" s="28"/>
      <c r="P43" s="38">
        <v>2</v>
      </c>
      <c r="Q43" s="7">
        <v>0</v>
      </c>
      <c r="R43" s="125"/>
      <c r="S43" s="42">
        <v>3</v>
      </c>
      <c r="T43" s="154" t="s">
        <v>97</v>
      </c>
      <c r="U43" s="43">
        <v>0</v>
      </c>
      <c r="V43" s="154" t="s">
        <v>97</v>
      </c>
      <c r="W43" s="132"/>
      <c r="X43" s="41">
        <v>5</v>
      </c>
      <c r="Y43" s="28"/>
      <c r="Z43" s="71">
        <v>54</v>
      </c>
      <c r="AA43" s="62">
        <v>4</v>
      </c>
      <c r="AB43" s="45"/>
      <c r="AC43" s="152">
        <v>48</v>
      </c>
      <c r="AD43" s="7">
        <v>2</v>
      </c>
      <c r="AE43" s="446">
        <v>41</v>
      </c>
      <c r="AF43" s="45"/>
    </row>
    <row r="44" spans="1:32" s="305" customFormat="1" ht="21.75" customHeight="1" x14ac:dyDescent="0.2">
      <c r="A44" s="63">
        <f>SUM(A42:A43)</f>
        <v>381</v>
      </c>
      <c r="B44" s="64">
        <f>SUM(B42:B43)</f>
        <v>18</v>
      </c>
      <c r="C44" s="288"/>
      <c r="D44" s="289" t="s">
        <v>44</v>
      </c>
      <c r="E44" s="86">
        <f>SUM(E42:E43)</f>
        <v>15</v>
      </c>
      <c r="F44" s="290">
        <f>SUM(F42:F43)</f>
        <v>15</v>
      </c>
      <c r="G44" s="291"/>
      <c r="H44" s="286">
        <f>SUM(H42:H43)</f>
        <v>378</v>
      </c>
      <c r="I44" s="287">
        <f>SUM(I42:I43)</f>
        <v>18</v>
      </c>
      <c r="J44" s="292"/>
      <c r="K44" s="293">
        <f>H44-A44</f>
        <v>-3</v>
      </c>
      <c r="L44" s="294">
        <f>SUM(K44/A44*100)</f>
        <v>-0.78740157480314954</v>
      </c>
      <c r="M44" s="667">
        <f>SUM(A44+P44-S44-U44-X44)</f>
        <v>379</v>
      </c>
      <c r="N44" s="653">
        <f>SUM(H44-M44)</f>
        <v>-1</v>
      </c>
      <c r="O44" s="295"/>
      <c r="P44" s="296">
        <f>SUM(P42:P43)</f>
        <v>13</v>
      </c>
      <c r="Q44" s="297">
        <f>SUM(Q42:Q43)</f>
        <v>0</v>
      </c>
      <c r="R44" s="298"/>
      <c r="S44" s="299">
        <f>SUM(S42:S43)</f>
        <v>9</v>
      </c>
      <c r="T44" s="297">
        <f>SUM(T42:T43)</f>
        <v>0</v>
      </c>
      <c r="U44" s="300">
        <f>SUM(U42:U43)</f>
        <v>0</v>
      </c>
      <c r="V44" s="297">
        <f>SUM(V42:V43)</f>
        <v>0</v>
      </c>
      <c r="W44" s="301"/>
      <c r="X44" s="290">
        <f>SUM(X42:X43)</f>
        <v>6</v>
      </c>
      <c r="Y44" s="295"/>
      <c r="Z44" s="302">
        <f>SUM(Z42:Z43)/2</f>
        <v>57</v>
      </c>
      <c r="AA44" s="287">
        <f>SUM(AA42,AA43)/2</f>
        <v>5.5</v>
      </c>
      <c r="AB44" s="292"/>
      <c r="AC44" s="296">
        <f>SUM(AC43,AC42)/2</f>
        <v>48.5</v>
      </c>
      <c r="AD44" s="303">
        <f>SUM(AD43,AD42)/2</f>
        <v>3.5</v>
      </c>
      <c r="AE44" s="448">
        <f>SUM(AE43,AE42)/2</f>
        <v>40.5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 t="s">
        <v>0</v>
      </c>
      <c r="F45" s="138" t="s">
        <v>0</v>
      </c>
      <c r="G45" s="76"/>
      <c r="H45" s="74"/>
      <c r="I45" s="68"/>
      <c r="J45" s="68"/>
      <c r="K45" s="65"/>
      <c r="L45" s="66"/>
      <c r="M45" s="654"/>
      <c r="N45" s="654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629">
        <v>163</v>
      </c>
      <c r="B46" s="630">
        <v>34</v>
      </c>
      <c r="C46" s="308"/>
      <c r="D46" s="323" t="s">
        <v>70</v>
      </c>
      <c r="E46" s="641">
        <v>6</v>
      </c>
      <c r="F46" s="143">
        <v>6</v>
      </c>
      <c r="G46" s="22"/>
      <c r="H46" s="306">
        <v>158</v>
      </c>
      <c r="I46" s="307">
        <v>35</v>
      </c>
      <c r="J46" s="309"/>
      <c r="K46" s="95">
        <f>H46-A46</f>
        <v>-5</v>
      </c>
      <c r="L46" s="96">
        <f>SUM(K46/A46*100)</f>
        <v>-3.0674846625766872</v>
      </c>
      <c r="M46" s="655">
        <f>SUM(A46+P46-S46-U46-X46)</f>
        <v>160</v>
      </c>
      <c r="N46" s="656">
        <f>SUM(H46-M46)</f>
        <v>-2</v>
      </c>
      <c r="O46" s="310"/>
      <c r="P46" s="311">
        <v>4</v>
      </c>
      <c r="Q46" s="312">
        <v>0</v>
      </c>
      <c r="R46" s="313"/>
      <c r="S46" s="314">
        <v>4</v>
      </c>
      <c r="T46" s="319" t="s">
        <v>97</v>
      </c>
      <c r="U46" s="315">
        <v>3</v>
      </c>
      <c r="V46" s="319" t="s">
        <v>97</v>
      </c>
      <c r="W46" s="316"/>
      <c r="X46" s="143">
        <v>0</v>
      </c>
      <c r="Y46" s="310"/>
      <c r="Z46" s="317">
        <v>64</v>
      </c>
      <c r="AA46" s="307">
        <v>14</v>
      </c>
      <c r="AB46" s="309"/>
      <c r="AC46" s="318">
        <v>44</v>
      </c>
      <c r="AD46" s="312">
        <v>7</v>
      </c>
      <c r="AE46" s="451">
        <v>45</v>
      </c>
      <c r="AF46" s="309"/>
    </row>
    <row r="47" spans="1:32" s="11" customFormat="1" ht="4.5" customHeight="1" x14ac:dyDescent="0.2">
      <c r="A47" s="74" t="s">
        <v>0</v>
      </c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654"/>
      <c r="N47" s="654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629">
        <v>115</v>
      </c>
      <c r="B48" s="630">
        <v>1</v>
      </c>
      <c r="C48" s="308"/>
      <c r="D48" s="94" t="s">
        <v>68</v>
      </c>
      <c r="E48" s="641">
        <v>4</v>
      </c>
      <c r="F48" s="143">
        <v>4</v>
      </c>
      <c r="G48" s="22"/>
      <c r="H48" s="306">
        <v>114</v>
      </c>
      <c r="I48" s="307">
        <v>1</v>
      </c>
      <c r="J48" s="309"/>
      <c r="K48" s="397">
        <f>H48-A48</f>
        <v>-1</v>
      </c>
      <c r="L48" s="398">
        <f>SUM(K48/A48*100)</f>
        <v>-0.86956521739130432</v>
      </c>
      <c r="M48" s="655">
        <f>SUM(A48+P48-S48-U48-X48)</f>
        <v>114</v>
      </c>
      <c r="N48" s="656">
        <f>SUM(H48-M48)</f>
        <v>0</v>
      </c>
      <c r="O48" s="310"/>
      <c r="P48" s="311">
        <v>0</v>
      </c>
      <c r="Q48" s="312">
        <v>0</v>
      </c>
      <c r="R48" s="313"/>
      <c r="S48" s="314">
        <v>0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0</v>
      </c>
      <c r="AD48" s="312">
        <v>0</v>
      </c>
      <c r="AE48" s="451">
        <v>0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654"/>
      <c r="N49" s="654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5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29</v>
      </c>
      <c r="G50" s="456"/>
      <c r="H50" s="453">
        <f>SUM(H38,H40,H44,H46,H48)</f>
        <v>771</v>
      </c>
      <c r="I50" s="453">
        <f>SUM(I38,I40,I44,I46,I48)</f>
        <v>56</v>
      </c>
      <c r="J50" s="457"/>
      <c r="K50" s="532">
        <f>SUM(K38,K40,K44,K46,K48)</f>
        <v>-8</v>
      </c>
      <c r="L50" s="532">
        <f>SUM(L38,L40,L44,L46,L48)</f>
        <v>-0.72445145477114103</v>
      </c>
      <c r="M50" s="668">
        <f>SUM(M38,M40,M44,M46,M48)</f>
        <v>774</v>
      </c>
      <c r="N50" s="668">
        <f>SUM(N38,N40,N44,N46,N48)</f>
        <v>-3</v>
      </c>
      <c r="O50" s="460"/>
      <c r="P50" s="463">
        <f>SUM(P38,P40,P44,P46,P48)</f>
        <v>18</v>
      </c>
      <c r="Q50" s="463">
        <f>SUM(Q38,Q40,Q44,Q46,Q48)</f>
        <v>0</v>
      </c>
      <c r="R50" s="461"/>
      <c r="S50" s="463">
        <f>SUM(S38,S40,S44,S46,S48)</f>
        <v>13</v>
      </c>
      <c r="T50" s="463">
        <f t="shared" ref="T50:V50" si="4">SUM(T38,T40,T44,T46,T48)</f>
        <v>0</v>
      </c>
      <c r="U50" s="463">
        <f t="shared" si="4"/>
        <v>4</v>
      </c>
      <c r="V50" s="463">
        <f t="shared" si="4"/>
        <v>0</v>
      </c>
      <c r="W50" s="462"/>
      <c r="X50" s="453">
        <f>SUM(X38,X40,X44,X46,X48)</f>
        <v>6</v>
      </c>
      <c r="Y50" s="460"/>
      <c r="Z50" s="463">
        <f>SUM(Z38,Z40,Z42,Z43,Z46,Z48)/6</f>
        <v>56.666666666666664</v>
      </c>
      <c r="AA50" s="528">
        <f>SUM(AA38,AA40,AA42,AA43,AA46,AA48)/6</f>
        <v>8</v>
      </c>
      <c r="AB50" s="457"/>
      <c r="AC50" s="463">
        <f>SUM(AC40,AC42,AC43,AC46)/4</f>
        <v>47.5</v>
      </c>
      <c r="AD50" s="530">
        <f>SUM(AD42,AD43,AD46)/3</f>
        <v>4.666666666666667</v>
      </c>
      <c r="AE50" s="529">
        <f>SUM(AE42,AE43,AE46)/3</f>
        <v>42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658"/>
      <c r="N51" s="658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636">
        <f>SUM(A50,A36,A30)</f>
        <v>7947</v>
      </c>
      <c r="B52" s="637">
        <f>SUM(B50,B36,B30)</f>
        <v>677</v>
      </c>
      <c r="C52" s="115"/>
      <c r="D52" s="117" t="s">
        <v>94</v>
      </c>
      <c r="E52" s="644">
        <f>SUM(E50,E36,E30)</f>
        <v>318</v>
      </c>
      <c r="F52" s="158">
        <f>SUM(F50,F36,F30)</f>
        <v>319</v>
      </c>
      <c r="G52" s="116"/>
      <c r="H52" s="157">
        <f>SUM(H50,H36,H30)</f>
        <v>7773</v>
      </c>
      <c r="I52" s="250">
        <f>SUM(I50,I36,I30)</f>
        <v>673</v>
      </c>
      <c r="J52" s="114"/>
      <c r="K52" s="384">
        <f>SUM(K50,K36,K30)</f>
        <v>-174</v>
      </c>
      <c r="L52" s="531">
        <f>SUM(K52/A52*100)</f>
        <v>-2.1895054737636843</v>
      </c>
      <c r="M52" s="669">
        <f>SUM(M50,M36,M30)</f>
        <v>7771</v>
      </c>
      <c r="N52" s="656">
        <f>SUM(N50,N36,N30)</f>
        <v>2</v>
      </c>
      <c r="O52" s="112"/>
      <c r="P52" s="157">
        <f>SUM(P50,P36,P30)</f>
        <v>55</v>
      </c>
      <c r="Q52" s="159">
        <f>SUM(Q50,Q36,Q30)</f>
        <v>19</v>
      </c>
      <c r="R52" s="526"/>
      <c r="S52" s="159">
        <f>SUM(S50,S36,S30)</f>
        <v>147</v>
      </c>
      <c r="T52" s="159">
        <f>SUM(T50,T36,T30)</f>
        <v>0</v>
      </c>
      <c r="U52" s="159">
        <f>SUM(U50,U36,U30)</f>
        <v>67</v>
      </c>
      <c r="V52" s="159">
        <f>SUM(V50,V36,V30)</f>
        <v>0</v>
      </c>
      <c r="W52" s="526"/>
      <c r="X52" s="158">
        <f>SUM(X50,X36,X30)</f>
        <v>17</v>
      </c>
      <c r="Y52" s="112"/>
      <c r="Z52" s="248">
        <f>SUM(Z50,Z36,Z30)/3</f>
        <v>67.825396825396822</v>
      </c>
      <c r="AA52" s="250">
        <f>SUM(AA50,AA36,AA30)/3</f>
        <v>15.384920634920634</v>
      </c>
      <c r="AB52" s="527">
        <f>SUM(AB50,AB36,AB30)/3</f>
        <v>0</v>
      </c>
      <c r="AC52" s="248">
        <f>SUM(AC50,AC36,AC30)/3</f>
        <v>57.590909090909093</v>
      </c>
      <c r="AD52" s="249">
        <f>SUM(AD30,AD36,AD50)/3</f>
        <v>10.222222222222223</v>
      </c>
      <c r="AE52" s="250">
        <f>SUM(AE50,AE36,AE30)/3</f>
        <v>58.9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90" t="s">
        <v>0</v>
      </c>
      <c r="AD53" s="690"/>
      <c r="AE53" s="69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7" t="s">
        <v>33</v>
      </c>
      <c r="L54" s="697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21"/>
    <col min="2" max="2" width="136.33203125" style="120" customWidth="1"/>
    <col min="3" max="16384" width="9.33203125" style="120"/>
  </cols>
  <sheetData>
    <row r="1" spans="1:2" ht="18.75" customHeight="1" x14ac:dyDescent="0.2">
      <c r="A1" s="123">
        <v>1</v>
      </c>
      <c r="B1" s="136" t="s">
        <v>52</v>
      </c>
    </row>
    <row r="2" spans="1:2" ht="17.25" customHeight="1" x14ac:dyDescent="0.2">
      <c r="A2" s="123" t="s">
        <v>0</v>
      </c>
      <c r="B2" s="122" t="s">
        <v>48</v>
      </c>
    </row>
    <row r="3" spans="1:2" ht="19.5" customHeight="1" x14ac:dyDescent="0.2">
      <c r="A3" s="123" t="s">
        <v>0</v>
      </c>
      <c r="B3" s="122" t="s">
        <v>49</v>
      </c>
    </row>
    <row r="4" spans="1:2" ht="20.25" customHeight="1" x14ac:dyDescent="0.2">
      <c r="A4" s="123" t="s">
        <v>0</v>
      </c>
      <c r="B4" s="122" t="s">
        <v>50</v>
      </c>
    </row>
    <row r="5" spans="1:2" ht="39" customHeight="1" x14ac:dyDescent="0.2">
      <c r="A5" s="123">
        <v>2</v>
      </c>
      <c r="B5" s="135" t="s">
        <v>64</v>
      </c>
    </row>
    <row r="6" spans="1:2" ht="81.75" customHeight="1" x14ac:dyDescent="0.2">
      <c r="A6" s="123">
        <v>3</v>
      </c>
      <c r="B6" s="136" t="s">
        <v>53</v>
      </c>
    </row>
    <row r="7" spans="1:2" ht="36" customHeight="1" x14ac:dyDescent="0.2">
      <c r="A7" s="123">
        <v>4</v>
      </c>
      <c r="B7" s="136" t="s">
        <v>51</v>
      </c>
    </row>
    <row r="8" spans="1:2" ht="24.75" customHeight="1" x14ac:dyDescent="0.2">
      <c r="A8" s="123">
        <v>5</v>
      </c>
      <c r="B8" s="136" t="s">
        <v>65</v>
      </c>
    </row>
    <row r="10" spans="1:2" x14ac:dyDescent="0.2">
      <c r="B10" s="120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FBFA-F29F-4308-AE27-A29375DFEFEC}">
  <dimension ref="A1:AI5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XFD104857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8"/>
      <c r="Z2" s="698"/>
      <c r="AA2" s="698"/>
      <c r="AB2" s="698"/>
      <c r="AC2" s="698"/>
      <c r="AD2" s="698"/>
      <c r="AE2" s="698"/>
      <c r="AF2" s="698"/>
    </row>
    <row r="3" spans="1:34" s="6" customFormat="1" ht="37.5" customHeight="1" x14ac:dyDescent="0.2">
      <c r="A3" s="686" t="s">
        <v>100</v>
      </c>
      <c r="B3" s="621"/>
      <c r="C3" s="30"/>
      <c r="D3" s="699" t="s">
        <v>61</v>
      </c>
      <c r="E3" s="701" t="s">
        <v>101</v>
      </c>
      <c r="F3" s="702"/>
      <c r="G3" s="31"/>
      <c r="H3" s="703" t="s">
        <v>103</v>
      </c>
      <c r="I3" s="704"/>
      <c r="J3" s="30"/>
      <c r="K3" s="705" t="s">
        <v>36</v>
      </c>
      <c r="L3" s="706"/>
      <c r="M3" s="645" t="s">
        <v>71</v>
      </c>
      <c r="N3" s="707" t="s">
        <v>73</v>
      </c>
      <c r="O3" s="32"/>
      <c r="P3" s="709" t="s">
        <v>69</v>
      </c>
      <c r="Q3" s="710"/>
      <c r="R3" s="710"/>
      <c r="S3" s="710"/>
      <c r="T3" s="710"/>
      <c r="U3" s="710"/>
      <c r="V3" s="710"/>
      <c r="W3" s="710"/>
      <c r="X3" s="711"/>
      <c r="Y3" s="32"/>
      <c r="Z3" s="712" t="s">
        <v>60</v>
      </c>
      <c r="AA3" s="713"/>
      <c r="AB3" s="714"/>
      <c r="AC3" s="714"/>
      <c r="AD3" s="714"/>
      <c r="AE3" s="714"/>
      <c r="AF3" s="30"/>
    </row>
    <row r="4" spans="1:34" s="6" customFormat="1" ht="38.25" x14ac:dyDescent="0.2">
      <c r="A4" s="622" t="s">
        <v>19</v>
      </c>
      <c r="B4" s="623" t="s">
        <v>45</v>
      </c>
      <c r="C4" s="16"/>
      <c r="D4" s="700"/>
      <c r="E4" s="685" t="s">
        <v>91</v>
      </c>
      <c r="F4" s="685" t="s">
        <v>102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646" t="s">
        <v>74</v>
      </c>
      <c r="N4" s="708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624"/>
      <c r="B5" s="625"/>
      <c r="C5" s="16"/>
      <c r="D5" s="15"/>
      <c r="E5" s="16"/>
      <c r="F5" s="15"/>
      <c r="G5" s="15"/>
      <c r="H5" s="17"/>
      <c r="I5" s="17"/>
      <c r="J5" s="17"/>
      <c r="K5" s="18"/>
      <c r="L5" s="19"/>
      <c r="M5" s="647"/>
      <c r="N5" s="647"/>
      <c r="O5" s="67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670">
        <v>197</v>
      </c>
      <c r="B6" s="626">
        <v>32</v>
      </c>
      <c r="C6" s="416"/>
      <c r="D6" s="466" t="s">
        <v>1</v>
      </c>
      <c r="E6" s="638">
        <v>10</v>
      </c>
      <c r="F6" s="468">
        <v>8</v>
      </c>
      <c r="G6" s="420"/>
      <c r="H6" s="502">
        <v>180</v>
      </c>
      <c r="I6" s="465">
        <v>31</v>
      </c>
      <c r="J6" s="423"/>
      <c r="K6" s="470">
        <f t="shared" ref="K6:K24" si="0">H6-A6</f>
        <v>-17</v>
      </c>
      <c r="L6" s="471">
        <f t="shared" ref="L6:L24" si="1">SUM(K6/A6*100)</f>
        <v>-8.6294416243654819</v>
      </c>
      <c r="M6" s="648">
        <f t="shared" ref="M6:M24" si="2">SUM(A6+P6-S6-U6-X6)</f>
        <v>180</v>
      </c>
      <c r="N6" s="649">
        <f t="shared" ref="N6:N24" si="3">SUM(H6-M6)</f>
        <v>0</v>
      </c>
      <c r="O6" s="426"/>
      <c r="P6" s="475">
        <v>1</v>
      </c>
      <c r="Q6" s="475">
        <v>1</v>
      </c>
      <c r="R6" s="476"/>
      <c r="S6" s="504">
        <v>5</v>
      </c>
      <c r="T6" s="617" t="s">
        <v>97</v>
      </c>
      <c r="U6" s="505">
        <v>13</v>
      </c>
      <c r="V6" s="617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48</v>
      </c>
      <c r="AD6" s="507">
        <v>13</v>
      </c>
      <c r="AE6" s="508">
        <v>75</v>
      </c>
      <c r="AF6" s="45"/>
      <c r="AH6" s="2" t="s">
        <v>0</v>
      </c>
    </row>
    <row r="7" spans="1:34" ht="21.75" customHeight="1" x14ac:dyDescent="0.2">
      <c r="A7" s="671">
        <v>416</v>
      </c>
      <c r="B7" s="627">
        <v>42</v>
      </c>
      <c r="C7" s="21"/>
      <c r="D7" s="99" t="s">
        <v>2</v>
      </c>
      <c r="E7" s="639">
        <v>16</v>
      </c>
      <c r="F7" s="142">
        <v>16</v>
      </c>
      <c r="G7" s="22"/>
      <c r="H7" s="44">
        <v>389</v>
      </c>
      <c r="I7" s="62">
        <v>43</v>
      </c>
      <c r="J7" s="45"/>
      <c r="K7" s="78">
        <f t="shared" si="0"/>
        <v>-27</v>
      </c>
      <c r="L7" s="79">
        <f t="shared" si="1"/>
        <v>-6.4903846153846159</v>
      </c>
      <c r="M7" s="650">
        <f t="shared" si="2"/>
        <v>395</v>
      </c>
      <c r="N7" s="651">
        <f t="shared" si="3"/>
        <v>-6</v>
      </c>
      <c r="O7" s="28"/>
      <c r="P7" s="7">
        <v>6</v>
      </c>
      <c r="Q7" s="7">
        <v>10</v>
      </c>
      <c r="R7" s="125"/>
      <c r="S7" s="42">
        <v>10</v>
      </c>
      <c r="T7" s="154" t="s">
        <v>97</v>
      </c>
      <c r="U7" s="43">
        <v>14</v>
      </c>
      <c r="V7" s="154" t="s">
        <v>97</v>
      </c>
      <c r="W7" s="125"/>
      <c r="X7" s="41">
        <v>3</v>
      </c>
      <c r="Y7" s="28"/>
      <c r="Z7" s="484">
        <v>70</v>
      </c>
      <c r="AA7" s="62">
        <v>21</v>
      </c>
      <c r="AB7" s="45"/>
      <c r="AC7" s="71">
        <v>60</v>
      </c>
      <c r="AD7" s="51">
        <v>13</v>
      </c>
      <c r="AE7" s="510">
        <v>68</v>
      </c>
      <c r="AF7" s="45"/>
    </row>
    <row r="8" spans="1:34" ht="21.75" customHeight="1" x14ac:dyDescent="0.2">
      <c r="A8" s="671">
        <v>247</v>
      </c>
      <c r="B8" s="627">
        <v>13</v>
      </c>
      <c r="C8" s="21"/>
      <c r="D8" s="99" t="s">
        <v>34</v>
      </c>
      <c r="E8" s="639">
        <v>10</v>
      </c>
      <c r="F8" s="142">
        <v>8</v>
      </c>
      <c r="G8" s="22"/>
      <c r="H8" s="44">
        <v>233</v>
      </c>
      <c r="I8" s="62">
        <v>6</v>
      </c>
      <c r="J8" s="45"/>
      <c r="K8" s="78">
        <f t="shared" si="0"/>
        <v>-14</v>
      </c>
      <c r="L8" s="79">
        <f t="shared" si="1"/>
        <v>-5.668016194331984</v>
      </c>
      <c r="M8" s="650">
        <f t="shared" si="2"/>
        <v>236</v>
      </c>
      <c r="N8" s="651">
        <f t="shared" si="3"/>
        <v>-3</v>
      </c>
      <c r="O8" s="28"/>
      <c r="P8" s="7">
        <v>6</v>
      </c>
      <c r="Q8" s="7">
        <v>1</v>
      </c>
      <c r="R8" s="125"/>
      <c r="S8" s="39">
        <v>13</v>
      </c>
      <c r="T8" s="154" t="s">
        <v>97</v>
      </c>
      <c r="U8" s="43">
        <v>4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56</v>
      </c>
      <c r="AD8" s="51">
        <v>23</v>
      </c>
      <c r="AE8" s="510">
        <v>70</v>
      </c>
      <c r="AF8" s="45"/>
    </row>
    <row r="9" spans="1:34" ht="21.75" customHeight="1" x14ac:dyDescent="0.2">
      <c r="A9" s="671">
        <v>147</v>
      </c>
      <c r="B9" s="627">
        <v>27</v>
      </c>
      <c r="C9" s="21"/>
      <c r="D9" s="99" t="s">
        <v>35</v>
      </c>
      <c r="E9" s="639">
        <v>8</v>
      </c>
      <c r="F9" s="142">
        <v>8</v>
      </c>
      <c r="G9" s="22"/>
      <c r="H9" s="44">
        <v>141</v>
      </c>
      <c r="I9" s="62">
        <v>27</v>
      </c>
      <c r="J9" s="45"/>
      <c r="K9" s="78">
        <f t="shared" si="0"/>
        <v>-6</v>
      </c>
      <c r="L9" s="79">
        <f t="shared" si="1"/>
        <v>-4.0816326530612246</v>
      </c>
      <c r="M9" s="650">
        <f t="shared" si="2"/>
        <v>141</v>
      </c>
      <c r="N9" s="651">
        <f t="shared" si="3"/>
        <v>0</v>
      </c>
      <c r="O9" s="28"/>
      <c r="P9" s="7">
        <v>0</v>
      </c>
      <c r="Q9" s="7">
        <v>1</v>
      </c>
      <c r="R9" s="125"/>
      <c r="S9" s="39">
        <v>3</v>
      </c>
      <c r="T9" s="154" t="s">
        <v>97</v>
      </c>
      <c r="U9" s="43">
        <v>3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12</v>
      </c>
      <c r="AE9" s="511">
        <v>74</v>
      </c>
      <c r="AF9" s="45"/>
    </row>
    <row r="10" spans="1:34" ht="21.75" customHeight="1" x14ac:dyDescent="0.2">
      <c r="A10" s="671">
        <v>302</v>
      </c>
      <c r="B10" s="627">
        <v>29</v>
      </c>
      <c r="C10" s="21"/>
      <c r="D10" s="99" t="s">
        <v>3</v>
      </c>
      <c r="E10" s="639">
        <v>11</v>
      </c>
      <c r="F10" s="142">
        <v>11</v>
      </c>
      <c r="G10" s="22"/>
      <c r="H10" s="44">
        <v>295</v>
      </c>
      <c r="I10" s="62">
        <v>32</v>
      </c>
      <c r="J10" s="45"/>
      <c r="K10" s="78">
        <f t="shared" si="0"/>
        <v>-7</v>
      </c>
      <c r="L10" s="79">
        <f t="shared" si="1"/>
        <v>-2.3178807947019866</v>
      </c>
      <c r="M10" s="650">
        <f t="shared" si="2"/>
        <v>293</v>
      </c>
      <c r="N10" s="651">
        <f t="shared" si="3"/>
        <v>2</v>
      </c>
      <c r="O10" s="28"/>
      <c r="P10" s="7">
        <v>4</v>
      </c>
      <c r="Q10" s="7">
        <v>2</v>
      </c>
      <c r="R10" s="125"/>
      <c r="S10" s="42">
        <v>4</v>
      </c>
      <c r="T10" s="154" t="s">
        <v>97</v>
      </c>
      <c r="U10" s="43">
        <v>9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70</v>
      </c>
      <c r="AD10" s="51">
        <v>21</v>
      </c>
      <c r="AE10" s="510">
        <v>67</v>
      </c>
      <c r="AF10" s="45"/>
    </row>
    <row r="11" spans="1:34" ht="21.75" customHeight="1" x14ac:dyDescent="0.2">
      <c r="A11" s="671">
        <v>282</v>
      </c>
      <c r="B11" s="627">
        <v>30</v>
      </c>
      <c r="C11" s="21"/>
      <c r="D11" s="99" t="s">
        <v>4</v>
      </c>
      <c r="E11" s="639">
        <v>17</v>
      </c>
      <c r="F11" s="142">
        <v>13</v>
      </c>
      <c r="G11" s="22"/>
      <c r="H11" s="44">
        <v>271</v>
      </c>
      <c r="I11" s="62">
        <v>25</v>
      </c>
      <c r="J11" s="45"/>
      <c r="K11" s="78">
        <f t="shared" si="0"/>
        <v>-11</v>
      </c>
      <c r="L11" s="79">
        <f t="shared" si="1"/>
        <v>-3.9007092198581561</v>
      </c>
      <c r="M11" s="650">
        <f t="shared" si="2"/>
        <v>270</v>
      </c>
      <c r="N11" s="651">
        <f t="shared" si="3"/>
        <v>1</v>
      </c>
      <c r="O11" s="28"/>
      <c r="P11" s="7">
        <v>11</v>
      </c>
      <c r="Q11" s="7">
        <v>1</v>
      </c>
      <c r="R11" s="125"/>
      <c r="S11" s="39">
        <v>14</v>
      </c>
      <c r="T11" s="154" t="s">
        <v>97</v>
      </c>
      <c r="U11" s="40">
        <v>6</v>
      </c>
      <c r="V11" s="154" t="s">
        <v>97</v>
      </c>
      <c r="W11" s="125"/>
      <c r="X11" s="41">
        <v>3</v>
      </c>
      <c r="Y11" s="28"/>
      <c r="Z11" s="484">
        <v>72</v>
      </c>
      <c r="AA11" s="62">
        <v>24</v>
      </c>
      <c r="AB11" s="45"/>
      <c r="AC11" s="152">
        <v>55</v>
      </c>
      <c r="AD11" s="7">
        <v>21</v>
      </c>
      <c r="AE11" s="446">
        <v>67</v>
      </c>
      <c r="AF11" s="45"/>
    </row>
    <row r="12" spans="1:34" ht="21.75" customHeight="1" x14ac:dyDescent="0.2">
      <c r="A12" s="671">
        <v>647</v>
      </c>
      <c r="B12" s="627">
        <v>49</v>
      </c>
      <c r="C12" s="21"/>
      <c r="D12" s="99" t="s">
        <v>5</v>
      </c>
      <c r="E12" s="639">
        <v>23</v>
      </c>
      <c r="F12" s="142">
        <v>23</v>
      </c>
      <c r="G12" s="22"/>
      <c r="H12" s="44">
        <v>615</v>
      </c>
      <c r="I12" s="62">
        <v>49</v>
      </c>
      <c r="J12" s="45"/>
      <c r="K12" s="78">
        <f t="shared" si="0"/>
        <v>-32</v>
      </c>
      <c r="L12" s="79">
        <f t="shared" si="1"/>
        <v>-4.945904173106646</v>
      </c>
      <c r="M12" s="650">
        <f t="shared" si="2"/>
        <v>614</v>
      </c>
      <c r="N12" s="651">
        <f t="shared" si="3"/>
        <v>1</v>
      </c>
      <c r="O12" s="28"/>
      <c r="P12" s="7">
        <v>8</v>
      </c>
      <c r="Q12" s="7">
        <v>2</v>
      </c>
      <c r="R12" s="125"/>
      <c r="S12" s="42">
        <v>19</v>
      </c>
      <c r="T12" s="154" t="s">
        <v>97</v>
      </c>
      <c r="U12" s="43">
        <v>15</v>
      </c>
      <c r="V12" s="154" t="s">
        <v>97</v>
      </c>
      <c r="W12" s="125"/>
      <c r="X12" s="41">
        <v>7</v>
      </c>
      <c r="Y12" s="28"/>
      <c r="Z12" s="484">
        <v>72</v>
      </c>
      <c r="AA12" s="62">
        <v>23</v>
      </c>
      <c r="AB12" s="45"/>
      <c r="AC12" s="109">
        <v>62</v>
      </c>
      <c r="AD12" s="51">
        <v>20</v>
      </c>
      <c r="AE12" s="510">
        <v>68</v>
      </c>
      <c r="AF12" s="45"/>
    </row>
    <row r="13" spans="1:34" ht="21.75" customHeight="1" x14ac:dyDescent="0.2">
      <c r="A13" s="671">
        <v>308</v>
      </c>
      <c r="B13" s="627">
        <v>30</v>
      </c>
      <c r="C13" s="21"/>
      <c r="D13" s="99" t="s">
        <v>6</v>
      </c>
      <c r="E13" s="639">
        <v>14</v>
      </c>
      <c r="F13" s="142">
        <v>12</v>
      </c>
      <c r="G13" s="22"/>
      <c r="H13" s="44">
        <v>273</v>
      </c>
      <c r="I13" s="62">
        <v>24</v>
      </c>
      <c r="J13" s="45"/>
      <c r="K13" s="78">
        <f t="shared" si="0"/>
        <v>-35</v>
      </c>
      <c r="L13" s="79">
        <f t="shared" si="1"/>
        <v>-11.363636363636363</v>
      </c>
      <c r="M13" s="650">
        <f t="shared" si="2"/>
        <v>276</v>
      </c>
      <c r="N13" s="651">
        <f t="shared" si="3"/>
        <v>-3</v>
      </c>
      <c r="O13" s="28"/>
      <c r="P13" s="7">
        <v>1</v>
      </c>
      <c r="Q13" s="7">
        <v>0</v>
      </c>
      <c r="R13" s="125"/>
      <c r="S13" s="39">
        <v>17</v>
      </c>
      <c r="T13" s="154" t="s">
        <v>97</v>
      </c>
      <c r="U13" s="43">
        <v>11</v>
      </c>
      <c r="V13" s="154" t="s">
        <v>97</v>
      </c>
      <c r="W13" s="125"/>
      <c r="X13" s="41">
        <v>5</v>
      </c>
      <c r="Y13" s="28"/>
      <c r="Z13" s="484">
        <v>72</v>
      </c>
      <c r="AA13" s="62">
        <v>25</v>
      </c>
      <c r="AB13" s="45"/>
      <c r="AC13" s="71">
        <v>53</v>
      </c>
      <c r="AD13" s="51">
        <v>22</v>
      </c>
      <c r="AE13" s="510">
        <v>69</v>
      </c>
      <c r="AF13" s="45"/>
    </row>
    <row r="14" spans="1:34" ht="21.75" customHeight="1" x14ac:dyDescent="0.2">
      <c r="A14" s="671">
        <v>587</v>
      </c>
      <c r="B14" s="627">
        <v>54</v>
      </c>
      <c r="C14" s="21"/>
      <c r="D14" s="99" t="s">
        <v>7</v>
      </c>
      <c r="E14" s="639">
        <v>19</v>
      </c>
      <c r="F14" s="142">
        <v>18</v>
      </c>
      <c r="G14" s="22"/>
      <c r="H14" s="44">
        <v>562</v>
      </c>
      <c r="I14" s="62">
        <v>51</v>
      </c>
      <c r="J14" s="45"/>
      <c r="K14" s="78">
        <f t="shared" si="0"/>
        <v>-25</v>
      </c>
      <c r="L14" s="79">
        <f t="shared" si="1"/>
        <v>-4.2589437819420786</v>
      </c>
      <c r="M14" s="650">
        <f t="shared" si="2"/>
        <v>567</v>
      </c>
      <c r="N14" s="651">
        <f t="shared" si="3"/>
        <v>-5</v>
      </c>
      <c r="O14" s="28"/>
      <c r="P14" s="7">
        <v>8</v>
      </c>
      <c r="Q14" s="7">
        <v>4</v>
      </c>
      <c r="R14" s="125"/>
      <c r="S14" s="42">
        <v>12</v>
      </c>
      <c r="T14" s="154" t="s">
        <v>97</v>
      </c>
      <c r="U14" s="43">
        <v>14</v>
      </c>
      <c r="V14" s="154" t="s">
        <v>97</v>
      </c>
      <c r="W14" s="125"/>
      <c r="X14" s="41">
        <v>2</v>
      </c>
      <c r="Y14" s="28"/>
      <c r="Z14" s="484">
        <v>71</v>
      </c>
      <c r="AA14" s="62">
        <v>20</v>
      </c>
      <c r="AB14" s="45"/>
      <c r="AC14" s="71">
        <v>49</v>
      </c>
      <c r="AD14" s="7">
        <v>13</v>
      </c>
      <c r="AE14" s="446">
        <v>62</v>
      </c>
      <c r="AF14" s="45"/>
    </row>
    <row r="15" spans="1:34" ht="21.75" customHeight="1" x14ac:dyDescent="0.2">
      <c r="A15" s="671">
        <v>309</v>
      </c>
      <c r="B15" s="627">
        <v>24</v>
      </c>
      <c r="C15" s="21"/>
      <c r="D15" s="99" t="s">
        <v>8</v>
      </c>
      <c r="E15" s="639">
        <v>15</v>
      </c>
      <c r="F15" s="142">
        <v>14</v>
      </c>
      <c r="G15" s="22"/>
      <c r="H15" s="44">
        <v>282</v>
      </c>
      <c r="I15" s="62">
        <v>19</v>
      </c>
      <c r="J15" s="45"/>
      <c r="K15" s="78">
        <f t="shared" si="0"/>
        <v>-27</v>
      </c>
      <c r="L15" s="79">
        <f t="shared" si="1"/>
        <v>-8.7378640776699026</v>
      </c>
      <c r="M15" s="650">
        <f t="shared" si="2"/>
        <v>282</v>
      </c>
      <c r="N15" s="651">
        <f t="shared" si="3"/>
        <v>0</v>
      </c>
      <c r="O15" s="28"/>
      <c r="P15" s="7">
        <v>0</v>
      </c>
      <c r="Q15" s="7">
        <v>1</v>
      </c>
      <c r="R15" s="125"/>
      <c r="S15" s="39">
        <v>7</v>
      </c>
      <c r="T15" s="154" t="s">
        <v>97</v>
      </c>
      <c r="U15" s="43">
        <v>19</v>
      </c>
      <c r="V15" s="154" t="s">
        <v>97</v>
      </c>
      <c r="W15" s="125"/>
      <c r="X15" s="41">
        <v>1</v>
      </c>
      <c r="Y15" s="28"/>
      <c r="Z15" s="484">
        <v>72</v>
      </c>
      <c r="AA15" s="62">
        <v>26</v>
      </c>
      <c r="AB15" s="45"/>
      <c r="AC15" s="71">
        <v>0</v>
      </c>
      <c r="AD15" s="51">
        <v>21</v>
      </c>
      <c r="AE15" s="510">
        <v>70</v>
      </c>
      <c r="AF15" s="45"/>
    </row>
    <row r="16" spans="1:34" ht="21.75" customHeight="1" x14ac:dyDescent="0.2">
      <c r="A16" s="671">
        <v>461</v>
      </c>
      <c r="B16" s="627">
        <v>28</v>
      </c>
      <c r="C16" s="21"/>
      <c r="D16" s="99" t="s">
        <v>9</v>
      </c>
      <c r="E16" s="639">
        <v>17</v>
      </c>
      <c r="F16" s="142">
        <v>17</v>
      </c>
      <c r="G16" s="22"/>
      <c r="H16" s="44">
        <v>457</v>
      </c>
      <c r="I16" s="62">
        <v>29</v>
      </c>
      <c r="J16" s="45"/>
      <c r="K16" s="78">
        <f t="shared" si="0"/>
        <v>-4</v>
      </c>
      <c r="L16" s="79">
        <f t="shared" si="1"/>
        <v>-0.86767895878524948</v>
      </c>
      <c r="M16" s="650">
        <f t="shared" si="2"/>
        <v>450</v>
      </c>
      <c r="N16" s="651">
        <f t="shared" si="3"/>
        <v>7</v>
      </c>
      <c r="O16" s="28"/>
      <c r="P16" s="7">
        <v>5</v>
      </c>
      <c r="Q16" s="7">
        <v>4</v>
      </c>
      <c r="R16" s="125"/>
      <c r="S16" s="39">
        <v>5</v>
      </c>
      <c r="T16" s="154" t="s">
        <v>97</v>
      </c>
      <c r="U16" s="40">
        <v>11</v>
      </c>
      <c r="V16" s="154" t="s">
        <v>97</v>
      </c>
      <c r="W16" s="125"/>
      <c r="X16" s="41">
        <v>0</v>
      </c>
      <c r="Y16" s="28"/>
      <c r="Z16" s="484">
        <v>74</v>
      </c>
      <c r="AA16" s="62">
        <v>22</v>
      </c>
      <c r="AB16" s="45"/>
      <c r="AC16" s="71">
        <v>62</v>
      </c>
      <c r="AD16" s="51">
        <v>12</v>
      </c>
      <c r="AE16" s="510">
        <v>63</v>
      </c>
      <c r="AF16" s="45"/>
    </row>
    <row r="17" spans="1:35" ht="21.75" customHeight="1" x14ac:dyDescent="0.2">
      <c r="A17" s="671">
        <v>372</v>
      </c>
      <c r="B17" s="627">
        <v>40</v>
      </c>
      <c r="C17" s="21"/>
      <c r="D17" s="99" t="s">
        <v>10</v>
      </c>
      <c r="E17" s="639">
        <v>15</v>
      </c>
      <c r="F17" s="142">
        <v>15</v>
      </c>
      <c r="G17" s="22"/>
      <c r="H17" s="44">
        <v>343</v>
      </c>
      <c r="I17" s="62">
        <v>45</v>
      </c>
      <c r="J17" s="45"/>
      <c r="K17" s="78">
        <f t="shared" si="0"/>
        <v>-29</v>
      </c>
      <c r="L17" s="79">
        <f t="shared" si="1"/>
        <v>-7.795698924731183</v>
      </c>
      <c r="M17" s="650">
        <f t="shared" si="2"/>
        <v>343</v>
      </c>
      <c r="N17" s="651">
        <f t="shared" si="3"/>
        <v>0</v>
      </c>
      <c r="O17" s="28"/>
      <c r="P17" s="7">
        <v>3</v>
      </c>
      <c r="Q17" s="7">
        <v>9</v>
      </c>
      <c r="R17" s="125"/>
      <c r="S17" s="39">
        <v>17</v>
      </c>
      <c r="T17" s="154" t="s">
        <v>97</v>
      </c>
      <c r="U17" s="43">
        <v>10</v>
      </c>
      <c r="V17" s="154" t="s">
        <v>97</v>
      </c>
      <c r="W17" s="125"/>
      <c r="X17" s="41">
        <v>5</v>
      </c>
      <c r="Y17" s="28"/>
      <c r="Z17" s="484">
        <v>74</v>
      </c>
      <c r="AA17" s="62">
        <v>22</v>
      </c>
      <c r="AB17" s="45"/>
      <c r="AC17" s="109">
        <v>54</v>
      </c>
      <c r="AD17" s="7">
        <v>11</v>
      </c>
      <c r="AE17" s="446">
        <v>66</v>
      </c>
      <c r="AF17" s="45"/>
    </row>
    <row r="18" spans="1:35" ht="21.75" customHeight="1" x14ac:dyDescent="0.2">
      <c r="A18" s="671">
        <v>168</v>
      </c>
      <c r="B18" s="627">
        <v>19</v>
      </c>
      <c r="C18" s="21"/>
      <c r="D18" s="99" t="s">
        <v>11</v>
      </c>
      <c r="E18" s="639">
        <v>8</v>
      </c>
      <c r="F18" s="142">
        <v>8</v>
      </c>
      <c r="G18" s="22"/>
      <c r="H18" s="44">
        <v>168</v>
      </c>
      <c r="I18" s="62">
        <v>14</v>
      </c>
      <c r="J18" s="45"/>
      <c r="K18" s="395">
        <f t="shared" si="0"/>
        <v>0</v>
      </c>
      <c r="L18" s="396">
        <f t="shared" si="1"/>
        <v>0</v>
      </c>
      <c r="M18" s="650">
        <f t="shared" si="2"/>
        <v>166</v>
      </c>
      <c r="N18" s="651">
        <f t="shared" si="3"/>
        <v>2</v>
      </c>
      <c r="O18" s="28"/>
      <c r="P18" s="7">
        <v>7</v>
      </c>
      <c r="Q18" s="7">
        <v>0</v>
      </c>
      <c r="R18" s="125"/>
      <c r="S18" s="42">
        <v>6</v>
      </c>
      <c r="T18" s="154" t="s">
        <v>97</v>
      </c>
      <c r="U18" s="43">
        <v>3</v>
      </c>
      <c r="V18" s="154" t="s">
        <v>97</v>
      </c>
      <c r="W18" s="125"/>
      <c r="X18" s="41">
        <v>0</v>
      </c>
      <c r="Y18" s="28"/>
      <c r="Z18" s="484">
        <v>71</v>
      </c>
      <c r="AA18" s="62">
        <v>21</v>
      </c>
      <c r="AB18" s="45"/>
      <c r="AC18" s="399">
        <v>47</v>
      </c>
      <c r="AD18" s="7">
        <v>21</v>
      </c>
      <c r="AE18" s="446">
        <v>64</v>
      </c>
      <c r="AF18" s="45"/>
    </row>
    <row r="19" spans="1:35" ht="21.75" customHeight="1" x14ac:dyDescent="0.2">
      <c r="A19" s="671">
        <v>387</v>
      </c>
      <c r="B19" s="627">
        <v>26</v>
      </c>
      <c r="C19" s="21"/>
      <c r="D19" s="99" t="s">
        <v>12</v>
      </c>
      <c r="E19" s="639">
        <v>14</v>
      </c>
      <c r="F19" s="142">
        <v>14</v>
      </c>
      <c r="G19" s="22"/>
      <c r="H19" s="44">
        <v>360</v>
      </c>
      <c r="I19" s="62">
        <v>25</v>
      </c>
      <c r="J19" s="45"/>
      <c r="K19" s="78">
        <f t="shared" si="0"/>
        <v>-27</v>
      </c>
      <c r="L19" s="79">
        <f t="shared" si="1"/>
        <v>-6.9767441860465116</v>
      </c>
      <c r="M19" s="650">
        <f t="shared" si="2"/>
        <v>363</v>
      </c>
      <c r="N19" s="651">
        <f t="shared" si="3"/>
        <v>-3</v>
      </c>
      <c r="O19" s="28"/>
      <c r="P19" s="7">
        <v>4</v>
      </c>
      <c r="Q19" s="7">
        <v>3</v>
      </c>
      <c r="R19" s="125"/>
      <c r="S19" s="42">
        <v>10</v>
      </c>
      <c r="T19" s="154" t="s">
        <v>97</v>
      </c>
      <c r="U19" s="43">
        <v>16</v>
      </c>
      <c r="V19" s="154" t="s">
        <v>97</v>
      </c>
      <c r="W19" s="125"/>
      <c r="X19" s="41">
        <v>2</v>
      </c>
      <c r="Y19" s="28"/>
      <c r="Z19" s="484">
        <v>70</v>
      </c>
      <c r="AA19" s="62">
        <v>20</v>
      </c>
      <c r="AB19" s="45"/>
      <c r="AC19" s="152">
        <v>63</v>
      </c>
      <c r="AD19" s="7">
        <v>17</v>
      </c>
      <c r="AE19" s="446">
        <v>64</v>
      </c>
      <c r="AF19" s="45"/>
    </row>
    <row r="20" spans="1:35" ht="21.75" customHeight="1" x14ac:dyDescent="0.2">
      <c r="A20" s="671">
        <v>296</v>
      </c>
      <c r="B20" s="627">
        <v>9</v>
      </c>
      <c r="C20" s="21"/>
      <c r="D20" s="99" t="s">
        <v>13</v>
      </c>
      <c r="E20" s="639">
        <v>11</v>
      </c>
      <c r="F20" s="142">
        <v>11</v>
      </c>
      <c r="G20" s="22"/>
      <c r="H20" s="44">
        <v>291</v>
      </c>
      <c r="I20" s="62">
        <v>10</v>
      </c>
      <c r="J20" s="45"/>
      <c r="K20" s="78">
        <f t="shared" si="0"/>
        <v>-5</v>
      </c>
      <c r="L20" s="79">
        <f t="shared" si="1"/>
        <v>-1.6891891891891893</v>
      </c>
      <c r="M20" s="650">
        <f t="shared" si="2"/>
        <v>289</v>
      </c>
      <c r="N20" s="651">
        <f t="shared" si="3"/>
        <v>2</v>
      </c>
      <c r="O20" s="28"/>
      <c r="P20" s="7">
        <v>3</v>
      </c>
      <c r="Q20" s="7">
        <v>1</v>
      </c>
      <c r="R20" s="125"/>
      <c r="S20" s="42">
        <v>4</v>
      </c>
      <c r="T20" s="154" t="s">
        <v>97</v>
      </c>
      <c r="U20" s="43">
        <v>6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66</v>
      </c>
      <c r="AD20" s="7">
        <v>11</v>
      </c>
      <c r="AE20" s="446">
        <v>69</v>
      </c>
      <c r="AF20" s="45"/>
    </row>
    <row r="21" spans="1:35" ht="21.75" customHeight="1" x14ac:dyDescent="0.2">
      <c r="A21" s="671">
        <v>308</v>
      </c>
      <c r="B21" s="627">
        <v>22</v>
      </c>
      <c r="C21" s="21"/>
      <c r="D21" s="99" t="s">
        <v>14</v>
      </c>
      <c r="E21" s="639">
        <v>11</v>
      </c>
      <c r="F21" s="142">
        <v>11</v>
      </c>
      <c r="G21" s="22"/>
      <c r="H21" s="44">
        <v>299</v>
      </c>
      <c r="I21" s="62">
        <v>26</v>
      </c>
      <c r="J21" s="45"/>
      <c r="K21" s="78">
        <f t="shared" si="0"/>
        <v>-9</v>
      </c>
      <c r="L21" s="79">
        <f t="shared" si="1"/>
        <v>-2.9220779220779218</v>
      </c>
      <c r="M21" s="650">
        <f t="shared" si="2"/>
        <v>296</v>
      </c>
      <c r="N21" s="651">
        <f t="shared" si="3"/>
        <v>3</v>
      </c>
      <c r="O21" s="28"/>
      <c r="P21" s="7">
        <v>4</v>
      </c>
      <c r="Q21" s="7">
        <v>6</v>
      </c>
      <c r="R21" s="125"/>
      <c r="S21" s="42">
        <v>6</v>
      </c>
      <c r="T21" s="154" t="s">
        <v>97</v>
      </c>
      <c r="U21" s="43">
        <v>9</v>
      </c>
      <c r="V21" s="154" t="s">
        <v>97</v>
      </c>
      <c r="W21" s="125"/>
      <c r="X21" s="41">
        <v>1</v>
      </c>
      <c r="Y21" s="28"/>
      <c r="Z21" s="484">
        <v>73</v>
      </c>
      <c r="AA21" s="62">
        <v>23</v>
      </c>
      <c r="AB21" s="45"/>
      <c r="AC21" s="109">
        <v>67</v>
      </c>
      <c r="AD21" s="7">
        <v>26</v>
      </c>
      <c r="AE21" s="446">
        <v>78</v>
      </c>
      <c r="AF21" s="45"/>
    </row>
    <row r="22" spans="1:35" ht="21.75" customHeight="1" x14ac:dyDescent="0.2">
      <c r="A22" s="671">
        <v>259</v>
      </c>
      <c r="B22" s="627">
        <v>27</v>
      </c>
      <c r="C22" s="21"/>
      <c r="D22" s="99" t="s">
        <v>15</v>
      </c>
      <c r="E22" s="639">
        <v>12</v>
      </c>
      <c r="F22" s="142">
        <v>12</v>
      </c>
      <c r="G22" s="22"/>
      <c r="H22" s="44">
        <v>251</v>
      </c>
      <c r="I22" s="62">
        <v>29</v>
      </c>
      <c r="J22" s="45"/>
      <c r="K22" s="78">
        <f t="shared" si="0"/>
        <v>-8</v>
      </c>
      <c r="L22" s="79">
        <f t="shared" si="1"/>
        <v>-3.0888030888030888</v>
      </c>
      <c r="M22" s="650">
        <f t="shared" si="2"/>
        <v>250</v>
      </c>
      <c r="N22" s="651">
        <f t="shared" si="3"/>
        <v>1</v>
      </c>
      <c r="O22" s="28"/>
      <c r="P22" s="7">
        <v>4</v>
      </c>
      <c r="Q22" s="7">
        <v>3</v>
      </c>
      <c r="R22" s="125"/>
      <c r="S22" s="42">
        <v>2</v>
      </c>
      <c r="T22" s="154" t="s">
        <v>97</v>
      </c>
      <c r="U22" s="43">
        <v>11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75</v>
      </c>
      <c r="AD22" s="154">
        <v>27</v>
      </c>
      <c r="AE22" s="485">
        <v>76</v>
      </c>
      <c r="AF22" s="45"/>
      <c r="AH22" s="355" t="s">
        <v>0</v>
      </c>
    </row>
    <row r="23" spans="1:35" ht="21.75" customHeight="1" x14ac:dyDescent="0.2">
      <c r="A23" s="671">
        <v>722</v>
      </c>
      <c r="B23" s="627">
        <v>57</v>
      </c>
      <c r="C23" s="21"/>
      <c r="D23" s="99" t="s">
        <v>16</v>
      </c>
      <c r="E23" s="639">
        <v>22</v>
      </c>
      <c r="F23" s="142">
        <v>22</v>
      </c>
      <c r="G23" s="22"/>
      <c r="H23" s="44">
        <v>694</v>
      </c>
      <c r="I23" s="62">
        <v>58</v>
      </c>
      <c r="J23" s="45"/>
      <c r="K23" s="78">
        <f t="shared" si="0"/>
        <v>-28</v>
      </c>
      <c r="L23" s="79">
        <f t="shared" si="1"/>
        <v>-3.8781163434903045</v>
      </c>
      <c r="M23" s="650">
        <f t="shared" si="2"/>
        <v>690</v>
      </c>
      <c r="N23" s="651">
        <f t="shared" si="3"/>
        <v>4</v>
      </c>
      <c r="O23" s="28"/>
      <c r="P23" s="7">
        <v>17</v>
      </c>
      <c r="Q23" s="7">
        <v>3</v>
      </c>
      <c r="R23" s="125"/>
      <c r="S23" s="42">
        <v>18</v>
      </c>
      <c r="T23" s="154" t="s">
        <v>97</v>
      </c>
      <c r="U23" s="43">
        <v>25</v>
      </c>
      <c r="V23" s="154" t="s">
        <v>97</v>
      </c>
      <c r="W23" s="125"/>
      <c r="X23" s="41">
        <v>6</v>
      </c>
      <c r="Y23" s="28"/>
      <c r="Z23" s="484">
        <v>69</v>
      </c>
      <c r="AA23" s="62">
        <v>19</v>
      </c>
      <c r="AB23" s="45"/>
      <c r="AC23" s="109">
        <v>61</v>
      </c>
      <c r="AD23" s="7">
        <v>13</v>
      </c>
      <c r="AE23" s="446">
        <v>64</v>
      </c>
      <c r="AF23" s="45"/>
    </row>
    <row r="24" spans="1:35" ht="21.75" customHeight="1" x14ac:dyDescent="0.2">
      <c r="A24" s="672">
        <v>158</v>
      </c>
      <c r="B24" s="628">
        <v>23</v>
      </c>
      <c r="C24" s="21"/>
      <c r="D24" s="402" t="s">
        <v>17</v>
      </c>
      <c r="E24" s="640">
        <v>9</v>
      </c>
      <c r="F24" s="404">
        <v>9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652">
        <f t="shared" si="2"/>
        <v>154</v>
      </c>
      <c r="N24" s="653">
        <f t="shared" si="3"/>
        <v>0</v>
      </c>
      <c r="O24" s="28"/>
      <c r="P24" s="407">
        <v>4</v>
      </c>
      <c r="Q24" s="407">
        <v>1</v>
      </c>
      <c r="R24" s="408"/>
      <c r="S24" s="409">
        <v>4</v>
      </c>
      <c r="T24" s="618" t="s">
        <v>97</v>
      </c>
      <c r="U24" s="410">
        <v>4</v>
      </c>
      <c r="V24" s="618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41</v>
      </c>
      <c r="AD24" s="407">
        <v>23</v>
      </c>
      <c r="AE24" s="513">
        <v>78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654"/>
      <c r="N25" s="654"/>
      <c r="O25" s="678"/>
      <c r="P25" s="67"/>
      <c r="Q25" s="67"/>
      <c r="R25" s="127"/>
      <c r="S25" s="68"/>
      <c r="T25" s="67"/>
      <c r="U25" s="69"/>
      <c r="V25" s="67"/>
      <c r="W25" s="127"/>
      <c r="X25" s="67"/>
      <c r="Y25" s="678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673">
        <v>1</v>
      </c>
      <c r="B26" s="630">
        <v>0</v>
      </c>
      <c r="C26" s="21"/>
      <c r="D26" s="94" t="s">
        <v>89</v>
      </c>
      <c r="E26" s="641">
        <v>3</v>
      </c>
      <c r="F26" s="143">
        <v>2</v>
      </c>
      <c r="G26" s="22"/>
      <c r="H26" s="53">
        <v>1</v>
      </c>
      <c r="I26" s="72">
        <v>0</v>
      </c>
      <c r="J26" s="45"/>
      <c r="K26" s="397">
        <f>H26-A26</f>
        <v>0</v>
      </c>
      <c r="L26" s="398">
        <f>SUM(K26/A26*100)</f>
        <v>0</v>
      </c>
      <c r="M26" s="655">
        <f>SUM(A26+P26-S26-U26-X26)</f>
        <v>1</v>
      </c>
      <c r="N26" s="656">
        <f>SUM(H26-M26)</f>
        <v>0</v>
      </c>
      <c r="O26" s="679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679"/>
      <c r="Z26" s="73">
        <v>87</v>
      </c>
      <c r="AA26" s="105">
        <v>41</v>
      </c>
      <c r="AB26" s="45"/>
      <c r="AC26" s="110">
        <v>0</v>
      </c>
      <c r="AD26" s="155">
        <v>0</v>
      </c>
      <c r="AE26" s="441">
        <v>0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654"/>
      <c r="N27" s="654"/>
      <c r="O27" s="678"/>
      <c r="P27" s="67"/>
      <c r="Q27" s="67"/>
      <c r="R27" s="127"/>
      <c r="S27" s="68"/>
      <c r="T27" s="67"/>
      <c r="U27" s="69"/>
      <c r="V27" s="67"/>
      <c r="W27" s="127"/>
      <c r="X27" s="67"/>
      <c r="Y27" s="678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673">
        <v>47</v>
      </c>
      <c r="B28" s="630">
        <v>14</v>
      </c>
      <c r="C28" s="308"/>
      <c r="D28" s="94" t="s">
        <v>67</v>
      </c>
      <c r="E28" s="641">
        <v>3</v>
      </c>
      <c r="F28" s="143">
        <v>3</v>
      </c>
      <c r="G28" s="22"/>
      <c r="H28" s="306">
        <v>42</v>
      </c>
      <c r="I28" s="307">
        <v>12</v>
      </c>
      <c r="J28" s="309"/>
      <c r="K28" s="95">
        <f>H28-A28</f>
        <v>-5</v>
      </c>
      <c r="L28" s="96">
        <f>SUM(K28/A28*100)</f>
        <v>-10.638297872340425</v>
      </c>
      <c r="M28" s="655">
        <f>SUM(A28+P28-S28-U28-X28)</f>
        <v>41</v>
      </c>
      <c r="N28" s="656">
        <f>SUM(H28-M28)</f>
        <v>1</v>
      </c>
      <c r="O28" s="680"/>
      <c r="P28" s="311">
        <v>0</v>
      </c>
      <c r="Q28" s="312">
        <v>0</v>
      </c>
      <c r="R28" s="313"/>
      <c r="S28" s="314">
        <v>2</v>
      </c>
      <c r="T28" s="319" t="s">
        <v>97</v>
      </c>
      <c r="U28" s="315">
        <v>2</v>
      </c>
      <c r="V28" s="319" t="s">
        <v>97</v>
      </c>
      <c r="W28" s="316"/>
      <c r="X28" s="143">
        <v>2</v>
      </c>
      <c r="Y28" s="680"/>
      <c r="Z28" s="317">
        <v>77</v>
      </c>
      <c r="AA28" s="307">
        <v>30</v>
      </c>
      <c r="AB28" s="309"/>
      <c r="AC28" s="318">
        <v>0</v>
      </c>
      <c r="AD28" s="319">
        <v>19</v>
      </c>
      <c r="AE28" s="450">
        <v>79</v>
      </c>
      <c r="AF28" s="309"/>
    </row>
    <row r="29" spans="1:35" s="11" customFormat="1" ht="6.75" customHeight="1" x14ac:dyDescent="0.2">
      <c r="A29" s="442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654"/>
      <c r="N29" s="654"/>
      <c r="O29" s="681"/>
      <c r="P29" s="67"/>
      <c r="Q29" s="67"/>
      <c r="R29" s="127"/>
      <c r="S29" s="68"/>
      <c r="T29" s="67"/>
      <c r="U29" s="69"/>
      <c r="V29" s="67"/>
      <c r="W29" s="127"/>
      <c r="X29" s="67"/>
      <c r="Y29" s="681"/>
      <c r="Z29" s="68"/>
      <c r="AA29" s="66"/>
      <c r="AB29" s="683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2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255</v>
      </c>
      <c r="G30" s="456"/>
      <c r="H30" s="517">
        <f>SUM(H6:H28)</f>
        <v>6301</v>
      </c>
      <c r="I30" s="517">
        <f>SUM(I28:I29,I26,I6:I24)</f>
        <v>577</v>
      </c>
      <c r="J30" s="457"/>
      <c r="K30" s="687">
        <f>SUM(K28:K29,K26,K6:K24)</f>
        <v>-320</v>
      </c>
      <c r="L30" s="687">
        <f>SUM(L28:L29,L26,L6:L24)</f>
        <v>-100.78266555314256</v>
      </c>
      <c r="M30" s="657">
        <f>SUM(M28:M29,M26,M6:M24)</f>
        <v>6297</v>
      </c>
      <c r="N30" s="682">
        <f>SUM(N28:N29,N26,N6:N24)</f>
        <v>4</v>
      </c>
      <c r="O30" s="674"/>
      <c r="P30" s="675">
        <f>SUM(P28:P29,P26,P6:P24)</f>
        <v>96</v>
      </c>
      <c r="Q30" s="675">
        <f>SUM(Q28:Q29,Q26,Q6:Q24)</f>
        <v>53</v>
      </c>
      <c r="R30" s="496"/>
      <c r="S30" s="675">
        <f>SUM(S28:S29,S26,S6:S24)</f>
        <v>178</v>
      </c>
      <c r="T30" s="675">
        <f>SUM(T28:T29,T26,T6:T24)</f>
        <v>0</v>
      </c>
      <c r="U30" s="675">
        <f>SUM(U28:U29,U26,U6:U24)</f>
        <v>205</v>
      </c>
      <c r="V30" s="675">
        <f>SUM(V28:V29,V26,V6:V24)</f>
        <v>0</v>
      </c>
      <c r="W30" s="496"/>
      <c r="X30" s="675">
        <f>SUM(X28:X29,X26,X6:X24)</f>
        <v>37</v>
      </c>
      <c r="Y30" s="674"/>
      <c r="Z30" s="676">
        <f>SUM(Z6:Z28)/21</f>
        <v>72.761904761904759</v>
      </c>
      <c r="AA30" s="676">
        <f>SUM(AA6:AA28)/21</f>
        <v>23.61904761904762</v>
      </c>
      <c r="AB30" s="684"/>
      <c r="AC30" s="676">
        <f>SUM(AC6:AC24,AC26,AC28)/17</f>
        <v>58.176470588235297</v>
      </c>
      <c r="AD30" s="676">
        <f>SUM(AD6:AD24,AD26,AD28)/20</f>
        <v>17.95</v>
      </c>
      <c r="AE30" s="677">
        <f>SUM(AE6:AE24,AE26,AE28)/20</f>
        <v>69.55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658"/>
      <c r="N31" s="658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688">
        <v>372</v>
      </c>
      <c r="B32" s="626">
        <v>27</v>
      </c>
      <c r="C32" s="416"/>
      <c r="D32" s="466" t="s">
        <v>38</v>
      </c>
      <c r="E32" s="638">
        <v>13</v>
      </c>
      <c r="F32" s="468">
        <v>13</v>
      </c>
      <c r="G32" s="420"/>
      <c r="H32" s="469">
        <v>388</v>
      </c>
      <c r="I32" s="465">
        <v>25</v>
      </c>
      <c r="J32" s="423"/>
      <c r="K32" s="611">
        <f>H32-A32</f>
        <v>16</v>
      </c>
      <c r="L32" s="612">
        <f>SUM(K32/A32*100)</f>
        <v>4.3010752688172049</v>
      </c>
      <c r="M32" s="659">
        <f>SUM(A32+P32-S32-U32-X32)</f>
        <v>386</v>
      </c>
      <c r="N32" s="649">
        <f>SUM(H32-M32)</f>
        <v>2</v>
      </c>
      <c r="O32" s="426"/>
      <c r="P32" s="475">
        <v>39</v>
      </c>
      <c r="Q32" s="475">
        <v>4</v>
      </c>
      <c r="R32" s="476"/>
      <c r="S32" s="477">
        <v>13</v>
      </c>
      <c r="T32" s="617" t="s">
        <v>97</v>
      </c>
      <c r="U32" s="478">
        <v>9</v>
      </c>
      <c r="V32" s="617" t="s">
        <v>97</v>
      </c>
      <c r="W32" s="479"/>
      <c r="X32" s="480">
        <v>3</v>
      </c>
      <c r="Y32" s="426"/>
      <c r="Z32" s="481">
        <v>72</v>
      </c>
      <c r="AA32" s="465">
        <v>15</v>
      </c>
      <c r="AB32" s="423"/>
      <c r="AC32" s="482">
        <v>50</v>
      </c>
      <c r="AD32" s="475">
        <v>8</v>
      </c>
      <c r="AE32" s="483">
        <v>63</v>
      </c>
      <c r="AF32" s="45"/>
    </row>
    <row r="33" spans="1:32" ht="21.75" customHeight="1" x14ac:dyDescent="0.2">
      <c r="A33" s="689">
        <v>396</v>
      </c>
      <c r="B33" s="627">
        <v>16</v>
      </c>
      <c r="C33" s="21"/>
      <c r="D33" s="99" t="s">
        <v>39</v>
      </c>
      <c r="E33" s="639">
        <v>15</v>
      </c>
      <c r="F33" s="142">
        <v>15</v>
      </c>
      <c r="G33" s="22"/>
      <c r="H33" s="50">
        <v>376</v>
      </c>
      <c r="I33" s="62">
        <v>12</v>
      </c>
      <c r="J33" s="45"/>
      <c r="K33" s="78">
        <f>H33-A33</f>
        <v>-20</v>
      </c>
      <c r="L33" s="79">
        <f>SUM(K33/A33*100)</f>
        <v>-5.0505050505050502</v>
      </c>
      <c r="M33" s="660">
        <f>SUM(A33+P33-S33-U33-X33)</f>
        <v>377</v>
      </c>
      <c r="N33" s="651">
        <f>SUM(H33-M33)</f>
        <v>-1</v>
      </c>
      <c r="O33" s="28"/>
      <c r="P33" s="7">
        <v>13</v>
      </c>
      <c r="Q33" s="7">
        <v>0</v>
      </c>
      <c r="R33" s="125"/>
      <c r="S33" s="42">
        <v>14</v>
      </c>
      <c r="T33" s="154" t="s">
        <v>97</v>
      </c>
      <c r="U33" s="43">
        <v>11</v>
      </c>
      <c r="V33" s="154" t="s">
        <v>97</v>
      </c>
      <c r="W33" s="132"/>
      <c r="X33" s="41">
        <v>7</v>
      </c>
      <c r="Y33" s="28"/>
      <c r="Z33" s="484">
        <v>72</v>
      </c>
      <c r="AA33" s="62">
        <v>17</v>
      </c>
      <c r="AB33" s="45"/>
      <c r="AC33" s="109">
        <v>62</v>
      </c>
      <c r="AD33" s="7">
        <v>7</v>
      </c>
      <c r="AE33" s="446">
        <v>66</v>
      </c>
      <c r="AF33" s="45"/>
    </row>
    <row r="34" spans="1:32" ht="21.75" customHeight="1" x14ac:dyDescent="0.2">
      <c r="A34" s="689">
        <v>99</v>
      </c>
      <c r="B34" s="627">
        <v>9</v>
      </c>
      <c r="C34" s="21"/>
      <c r="D34" s="99" t="s">
        <v>40</v>
      </c>
      <c r="E34" s="639">
        <v>6</v>
      </c>
      <c r="F34" s="142">
        <v>5</v>
      </c>
      <c r="G34" s="22"/>
      <c r="H34" s="50">
        <v>88</v>
      </c>
      <c r="I34" s="62">
        <v>8</v>
      </c>
      <c r="J34" s="45"/>
      <c r="K34" s="78">
        <f>H34-A34</f>
        <v>-11</v>
      </c>
      <c r="L34" s="79">
        <f>SUM(K34/A34*100)</f>
        <v>-11.111111111111111</v>
      </c>
      <c r="M34" s="660">
        <f>SUM(A34+P34-S34-U34-X34)</f>
        <v>93</v>
      </c>
      <c r="N34" s="651">
        <f>SUM(H34-M34)</f>
        <v>-5</v>
      </c>
      <c r="O34" s="28"/>
      <c r="P34" s="7">
        <v>2</v>
      </c>
      <c r="Q34" s="7">
        <v>0</v>
      </c>
      <c r="R34" s="125"/>
      <c r="S34" s="42">
        <v>6</v>
      </c>
      <c r="T34" s="154" t="s">
        <v>97</v>
      </c>
      <c r="U34" s="43">
        <v>2</v>
      </c>
      <c r="V34" s="154" t="s">
        <v>97</v>
      </c>
      <c r="W34" s="132"/>
      <c r="X34" s="41">
        <v>0</v>
      </c>
      <c r="Y34" s="28"/>
      <c r="Z34" s="484">
        <v>75</v>
      </c>
      <c r="AA34" s="62">
        <v>18</v>
      </c>
      <c r="AB34" s="45"/>
      <c r="AC34" s="152">
        <v>63</v>
      </c>
      <c r="AD34" s="7">
        <v>12</v>
      </c>
      <c r="AE34" s="446">
        <v>74</v>
      </c>
      <c r="AF34" s="45"/>
    </row>
    <row r="35" spans="1:32" ht="21.75" customHeight="1" x14ac:dyDescent="0.2">
      <c r="A35" s="689">
        <v>11</v>
      </c>
      <c r="B35" s="627">
        <v>0</v>
      </c>
      <c r="C35" s="21"/>
      <c r="D35" s="99" t="s">
        <v>63</v>
      </c>
      <c r="E35" s="639">
        <v>1</v>
      </c>
      <c r="F35" s="142">
        <v>1</v>
      </c>
      <c r="G35" s="22"/>
      <c r="H35" s="50">
        <v>15</v>
      </c>
      <c r="I35" s="62">
        <v>0</v>
      </c>
      <c r="J35" s="45"/>
      <c r="K35" s="78">
        <f>H35-A35</f>
        <v>4</v>
      </c>
      <c r="L35" s="79">
        <f>SUM(K35/A35*100)</f>
        <v>36.363636363636367</v>
      </c>
      <c r="M35" s="660">
        <f>SUM(A35+P35-S35-U35-X35)</f>
        <v>9</v>
      </c>
      <c r="N35" s="651">
        <v>0</v>
      </c>
      <c r="O35" s="28"/>
      <c r="P35" s="7">
        <v>0</v>
      </c>
      <c r="Q35" s="7">
        <v>0</v>
      </c>
      <c r="R35" s="125"/>
      <c r="S35" s="42">
        <v>0</v>
      </c>
      <c r="T35" s="154" t="s">
        <v>97</v>
      </c>
      <c r="U35" s="43">
        <v>2</v>
      </c>
      <c r="V35" s="154" t="s">
        <v>97</v>
      </c>
      <c r="W35" s="132"/>
      <c r="X35" s="41">
        <v>0</v>
      </c>
      <c r="Y35" s="28"/>
      <c r="Z35" s="71">
        <v>75</v>
      </c>
      <c r="AA35" s="62">
        <v>6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86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34</v>
      </c>
      <c r="G36" s="456"/>
      <c r="H36" s="490">
        <f>SUM(H32:H35)</f>
        <v>867</v>
      </c>
      <c r="I36" s="487">
        <f>SUM(I32:I35)</f>
        <v>45</v>
      </c>
      <c r="J36" s="457"/>
      <c r="K36" s="491">
        <f>SUM(K32:K35)</f>
        <v>-11</v>
      </c>
      <c r="L36" s="492">
        <f>SUM(K36/A36*100)</f>
        <v>-1.2528473804100226</v>
      </c>
      <c r="M36" s="661">
        <f>SUM(M32:M35)</f>
        <v>865</v>
      </c>
      <c r="N36" s="662">
        <f>SUM(H36-M36)</f>
        <v>2</v>
      </c>
      <c r="O36" s="460"/>
      <c r="P36" s="495">
        <f>SUM(P32:P35)</f>
        <v>54</v>
      </c>
      <c r="Q36" s="495">
        <f>SUM(Q32:Q35)</f>
        <v>4</v>
      </c>
      <c r="R36" s="496"/>
      <c r="S36" s="495">
        <f>SUM(S32:S35)</f>
        <v>33</v>
      </c>
      <c r="T36" s="495">
        <f>SUM(T32:T35)</f>
        <v>0</v>
      </c>
      <c r="U36" s="495">
        <f>SUM(U32:U35)</f>
        <v>24</v>
      </c>
      <c r="V36" s="495">
        <f>SUM(V32:V35)</f>
        <v>0</v>
      </c>
      <c r="W36" s="496"/>
      <c r="X36" s="487">
        <f>SUM(X32:X35)</f>
        <v>10</v>
      </c>
      <c r="Y36" s="460"/>
      <c r="Z36" s="497">
        <f>SUM(Z32:Z35)/4</f>
        <v>73.5</v>
      </c>
      <c r="AA36" s="498">
        <f>SUM(AA32:AA35)/4</f>
        <v>14</v>
      </c>
      <c r="AB36" s="457"/>
      <c r="AC36" s="497">
        <f>SUM(AC32,AC33,AC34)/3</f>
        <v>58.333333333333336</v>
      </c>
      <c r="AD36" s="499">
        <f>SUM(AD32:AD35)/3</f>
        <v>9</v>
      </c>
      <c r="AE36" s="500">
        <f>SUM(AE32:AE35)/3</f>
        <v>67.666666666666671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658"/>
      <c r="N37" s="658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632">
        <v>95</v>
      </c>
      <c r="B38" s="633">
        <v>2</v>
      </c>
      <c r="C38" s="416"/>
      <c r="D38" s="417" t="s">
        <v>79</v>
      </c>
      <c r="E38" s="642">
        <v>3</v>
      </c>
      <c r="F38" s="419">
        <v>3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663">
        <f>SUM(A38+P38-S38-U38-X38)</f>
        <v>95</v>
      </c>
      <c r="N38" s="664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4</v>
      </c>
      <c r="AB38" s="423"/>
      <c r="AC38" s="435">
        <v>0</v>
      </c>
      <c r="AD38" s="436">
        <v>0</v>
      </c>
      <c r="AE38" s="437">
        <v>0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 t="s">
        <v>0</v>
      </c>
      <c r="G39" s="76"/>
      <c r="H39" s="74"/>
      <c r="I39" s="68"/>
      <c r="J39" s="68"/>
      <c r="K39" s="65"/>
      <c r="L39" s="66"/>
      <c r="M39" s="654"/>
      <c r="N39" s="654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629">
        <v>24</v>
      </c>
      <c r="B40" s="630">
        <v>0</v>
      </c>
      <c r="C40" s="21"/>
      <c r="D40" s="94" t="s">
        <v>80</v>
      </c>
      <c r="E40" s="641">
        <v>1</v>
      </c>
      <c r="F40" s="143">
        <v>1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655">
        <f>SUM(A40+P40-S40-U40-X40)</f>
        <v>26</v>
      </c>
      <c r="N40" s="656">
        <f>SUM(H40-M40)</f>
        <v>-1</v>
      </c>
      <c r="O40" s="28"/>
      <c r="P40" s="54">
        <v>2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48</v>
      </c>
      <c r="AA40" s="72">
        <v>4</v>
      </c>
      <c r="AB40" s="45"/>
      <c r="AC40" s="110">
        <v>45</v>
      </c>
      <c r="AD40" s="155">
        <v>0</v>
      </c>
      <c r="AE40" s="441">
        <v>0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654"/>
      <c r="N41" s="654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634">
        <v>270</v>
      </c>
      <c r="B42" s="635">
        <v>13</v>
      </c>
      <c r="C42" s="21"/>
      <c r="D42" s="98" t="s">
        <v>41</v>
      </c>
      <c r="E42" s="643">
        <v>10</v>
      </c>
      <c r="F42" s="141">
        <v>10</v>
      </c>
      <c r="G42" s="22"/>
      <c r="H42" s="91">
        <v>269</v>
      </c>
      <c r="I42" s="61">
        <v>13</v>
      </c>
      <c r="J42" s="45"/>
      <c r="K42" s="691">
        <f>H42-A42</f>
        <v>-1</v>
      </c>
      <c r="L42" s="692">
        <f>SUM(K42/A42*100)</f>
        <v>-0.37037037037037041</v>
      </c>
      <c r="M42" s="665">
        <f>SUM(A42+P42-S42-U42-X42)</f>
        <v>271</v>
      </c>
      <c r="N42" s="666">
        <f>SUM(H42-M42)</f>
        <v>-2</v>
      </c>
      <c r="O42" s="28"/>
      <c r="P42" s="80">
        <v>12</v>
      </c>
      <c r="Q42" s="81">
        <v>1</v>
      </c>
      <c r="R42" s="124"/>
      <c r="S42" s="92">
        <v>10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7</v>
      </c>
      <c r="AB42" s="45"/>
      <c r="AC42" s="108">
        <v>48</v>
      </c>
      <c r="AD42" s="156">
        <v>5</v>
      </c>
      <c r="AE42" s="444">
        <v>36</v>
      </c>
      <c r="AF42" s="45"/>
    </row>
    <row r="43" spans="1:32" ht="21.75" customHeight="1" x14ac:dyDescent="0.2">
      <c r="A43" s="631">
        <v>114</v>
      </c>
      <c r="B43" s="627">
        <v>5</v>
      </c>
      <c r="C43" s="21"/>
      <c r="D43" s="99" t="s">
        <v>42</v>
      </c>
      <c r="E43" s="639">
        <v>5</v>
      </c>
      <c r="F43" s="142">
        <v>5</v>
      </c>
      <c r="G43" s="22"/>
      <c r="H43" s="50">
        <v>112</v>
      </c>
      <c r="I43" s="62">
        <v>5</v>
      </c>
      <c r="J43" s="45"/>
      <c r="K43" s="78">
        <f>H43-A43</f>
        <v>-2</v>
      </c>
      <c r="L43" s="79">
        <f>SUM(K43/A43*100)</f>
        <v>-1.7543859649122806</v>
      </c>
      <c r="M43" s="660">
        <f>SUM(A43+P43-S43-U43-X43)</f>
        <v>114</v>
      </c>
      <c r="N43" s="651">
        <f>SUM(H43-M43)</f>
        <v>-2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4</v>
      </c>
      <c r="AB43" s="45"/>
      <c r="AC43" s="152">
        <v>37</v>
      </c>
      <c r="AD43" s="7">
        <v>5</v>
      </c>
      <c r="AE43" s="446">
        <v>35</v>
      </c>
      <c r="AF43" s="45"/>
    </row>
    <row r="44" spans="1:32" s="305" customFormat="1" ht="21.75" customHeight="1" x14ac:dyDescent="0.2">
      <c r="A44" s="63">
        <f>SUM(A42:A43)</f>
        <v>384</v>
      </c>
      <c r="B44" s="64">
        <f>SUM(B42:B43)</f>
        <v>18</v>
      </c>
      <c r="C44" s="288"/>
      <c r="D44" s="289" t="s">
        <v>44</v>
      </c>
      <c r="E44" s="86">
        <f>SUM(E42:E43)</f>
        <v>15</v>
      </c>
      <c r="F44" s="290">
        <f>SUM(F42:F43)</f>
        <v>15</v>
      </c>
      <c r="G44" s="291"/>
      <c r="H44" s="286">
        <f>SUM(H42:H43)</f>
        <v>381</v>
      </c>
      <c r="I44" s="287">
        <f>SUM(I42:I43)</f>
        <v>18</v>
      </c>
      <c r="J44" s="292"/>
      <c r="K44" s="293">
        <f>H44-A44</f>
        <v>-3</v>
      </c>
      <c r="L44" s="294">
        <f>SUM(K44/A44*100)</f>
        <v>-0.78125</v>
      </c>
      <c r="M44" s="667">
        <f>SUM(A44+P44-S44-U44-X44)</f>
        <v>385</v>
      </c>
      <c r="N44" s="653">
        <f>SUM(H44-M44)</f>
        <v>-4</v>
      </c>
      <c r="O44" s="295"/>
      <c r="P44" s="296">
        <f>SUM(P42:P43)</f>
        <v>15</v>
      </c>
      <c r="Q44" s="297">
        <f>SUM(Q42:Q43)</f>
        <v>1</v>
      </c>
      <c r="R44" s="298"/>
      <c r="S44" s="299">
        <f>SUM(S42:S43)</f>
        <v>12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5.5</v>
      </c>
      <c r="AB44" s="292"/>
      <c r="AC44" s="296">
        <f>SUM(AC43,AC42)/2</f>
        <v>42.5</v>
      </c>
      <c r="AD44" s="303">
        <f>SUM(AD43,AD42)/2</f>
        <v>5</v>
      </c>
      <c r="AE44" s="448">
        <f>SUM(AE43,AE42)/2</f>
        <v>35.5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 t="s">
        <v>0</v>
      </c>
      <c r="G45" s="76"/>
      <c r="H45" s="74"/>
      <c r="I45" s="68"/>
      <c r="J45" s="68"/>
      <c r="K45" s="65"/>
      <c r="L45" s="66"/>
      <c r="M45" s="654"/>
      <c r="N45" s="654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629">
        <v>162</v>
      </c>
      <c r="B46" s="630">
        <v>34</v>
      </c>
      <c r="C46" s="308"/>
      <c r="D46" s="323" t="s">
        <v>70</v>
      </c>
      <c r="E46" s="641">
        <v>6</v>
      </c>
      <c r="F46" s="143">
        <v>6</v>
      </c>
      <c r="G46" s="22"/>
      <c r="H46" s="306">
        <v>163</v>
      </c>
      <c r="I46" s="307">
        <v>34</v>
      </c>
      <c r="J46" s="309"/>
      <c r="K46" s="95">
        <f>H46-A46</f>
        <v>1</v>
      </c>
      <c r="L46" s="96">
        <f>SUM(K46/A46*100)</f>
        <v>0.61728395061728392</v>
      </c>
      <c r="M46" s="655">
        <f>SUM(A46+P46-S46-U46-X46)</f>
        <v>161</v>
      </c>
      <c r="N46" s="656">
        <f>SUM(H46-M46)</f>
        <v>2</v>
      </c>
      <c r="O46" s="310"/>
      <c r="P46" s="311">
        <v>10</v>
      </c>
      <c r="Q46" s="312">
        <v>1</v>
      </c>
      <c r="R46" s="313"/>
      <c r="S46" s="314">
        <v>5</v>
      </c>
      <c r="T46" s="319" t="s">
        <v>97</v>
      </c>
      <c r="U46" s="315">
        <v>5</v>
      </c>
      <c r="V46" s="319" t="s">
        <v>97</v>
      </c>
      <c r="W46" s="316"/>
      <c r="X46" s="143">
        <v>1</v>
      </c>
      <c r="Y46" s="310"/>
      <c r="Z46" s="317">
        <v>65</v>
      </c>
      <c r="AA46" s="307">
        <v>14</v>
      </c>
      <c r="AB46" s="309"/>
      <c r="AC46" s="318">
        <v>43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654"/>
      <c r="N47" s="654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629">
        <v>114</v>
      </c>
      <c r="B48" s="630">
        <v>1</v>
      </c>
      <c r="C48" s="308"/>
      <c r="D48" s="94" t="s">
        <v>68</v>
      </c>
      <c r="E48" s="641">
        <v>4</v>
      </c>
      <c r="F48" s="143">
        <v>4</v>
      </c>
      <c r="G48" s="22"/>
      <c r="H48" s="306">
        <v>115</v>
      </c>
      <c r="I48" s="307">
        <v>1</v>
      </c>
      <c r="J48" s="309"/>
      <c r="K48" s="397">
        <f>H48-A48</f>
        <v>1</v>
      </c>
      <c r="L48" s="398">
        <f>SUM(K48/A48*100)</f>
        <v>0.8771929824561403</v>
      </c>
      <c r="M48" s="655">
        <f>SUM(A48+P48-S48-U48-X48)</f>
        <v>115</v>
      </c>
      <c r="N48" s="656">
        <f>SUM(H48-M48)</f>
        <v>0</v>
      </c>
      <c r="O48" s="310"/>
      <c r="P48" s="311">
        <v>3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49</v>
      </c>
      <c r="AD48" s="312">
        <v>33</v>
      </c>
      <c r="AE48" s="451">
        <v>78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654"/>
      <c r="N49" s="654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29</v>
      </c>
      <c r="G50" s="456"/>
      <c r="H50" s="453">
        <f>SUM(H38,H40,H44,H46,H48)</f>
        <v>779</v>
      </c>
      <c r="I50" s="453">
        <f>SUM(I38,I40,I44,I46,I48)</f>
        <v>55</v>
      </c>
      <c r="J50" s="457"/>
      <c r="K50" s="532">
        <f>SUM(K38,K40,K44,K46,K48)</f>
        <v>0</v>
      </c>
      <c r="L50" s="532">
        <f>SUM(L38,L40,L44,L46,L48)</f>
        <v>4.8798935997400905</v>
      </c>
      <c r="M50" s="668">
        <f>SUM(M38,M40,M44,M46,M48)</f>
        <v>782</v>
      </c>
      <c r="N50" s="668">
        <f>SUM(N38,N40,N44,N46,N48)</f>
        <v>-3</v>
      </c>
      <c r="O50" s="460"/>
      <c r="P50" s="463">
        <f>SUM(P38,P40,P44,P46,P48)</f>
        <v>30</v>
      </c>
      <c r="Q50" s="463">
        <f>SUM(Q38,Q40,Q44,Q46,Q48)</f>
        <v>2</v>
      </c>
      <c r="R50" s="461"/>
      <c r="S50" s="463">
        <f>SUM(S38,S40,S44,S46,S48)</f>
        <v>18</v>
      </c>
      <c r="T50" s="463">
        <f t="shared" ref="T50:V50" si="4">SUM(T38,T40,T44,T46,T48)</f>
        <v>0</v>
      </c>
      <c r="U50" s="463">
        <f t="shared" si="4"/>
        <v>8</v>
      </c>
      <c r="V50" s="463">
        <f t="shared" si="4"/>
        <v>0</v>
      </c>
      <c r="W50" s="462"/>
      <c r="X50" s="453">
        <f>SUM(X38,X40,X44,X46,X48)</f>
        <v>1</v>
      </c>
      <c r="Y50" s="460"/>
      <c r="Z50" s="463">
        <f>SUM(Z38,Z40,Z42,Z43,Z46,Z48)/6</f>
        <v>56.833333333333336</v>
      </c>
      <c r="AA50" s="528">
        <f>SUM(AA38,AA40,AA42,AA43,AA46,AA48)/6</f>
        <v>8</v>
      </c>
      <c r="AB50" s="457"/>
      <c r="AC50" s="463">
        <f>SUM(AC38,AC40,AC42,AC43,AC46,AC48)/5</f>
        <v>44.4</v>
      </c>
      <c r="AD50" s="530">
        <f>SUM(AD38,AD40,AD42,AD43,AD46,AD48)/4</f>
        <v>12.5</v>
      </c>
      <c r="AE50" s="529">
        <f>SUM(AE38,AE40,AE42,AE43,AE46,AE48)/4</f>
        <v>48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658"/>
      <c r="N51" s="658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636">
        <f>SUM(A50,A36,A30)</f>
        <v>8278</v>
      </c>
      <c r="B52" s="637">
        <f>SUM(B50,B36,B30)</f>
        <v>702</v>
      </c>
      <c r="C52" s="115"/>
      <c r="D52" s="117" t="s">
        <v>94</v>
      </c>
      <c r="E52" s="644">
        <f>SUM(E50,E36,E30)</f>
        <v>332</v>
      </c>
      <c r="F52" s="158">
        <f>SUM(F50,F36,F30)</f>
        <v>318</v>
      </c>
      <c r="G52" s="116"/>
      <c r="H52" s="157">
        <f>SUM(H50,H36,H30)</f>
        <v>7947</v>
      </c>
      <c r="I52" s="250">
        <f>SUM(I50,I36,I30)</f>
        <v>677</v>
      </c>
      <c r="J52" s="114"/>
      <c r="K52" s="384">
        <f>SUM(K50,K36,K30)</f>
        <v>-331</v>
      </c>
      <c r="L52" s="531">
        <f>SUM(K52/A52*100)</f>
        <v>-3.9985503744865909</v>
      </c>
      <c r="M52" s="669">
        <f>SUM(M50,M36,M30)</f>
        <v>7944</v>
      </c>
      <c r="N52" s="656">
        <f>SUM(N50,N36,N30)</f>
        <v>3</v>
      </c>
      <c r="O52" s="112"/>
      <c r="P52" s="157">
        <f>SUM(P50,P36,P30)</f>
        <v>180</v>
      </c>
      <c r="Q52" s="159">
        <f>SUM(Q50,Q36,Q30)</f>
        <v>59</v>
      </c>
      <c r="R52" s="526"/>
      <c r="S52" s="159">
        <f>SUM(S50,S36,S30)</f>
        <v>229</v>
      </c>
      <c r="T52" s="159">
        <f>SUM(T50,T36,T30)</f>
        <v>0</v>
      </c>
      <c r="U52" s="159">
        <f>SUM(U50,U36,U30)</f>
        <v>237</v>
      </c>
      <c r="V52" s="159">
        <f>SUM(V50,V36,V30)</f>
        <v>0</v>
      </c>
      <c r="W52" s="526"/>
      <c r="X52" s="158">
        <f>SUM(X50,X36,X30)</f>
        <v>48</v>
      </c>
      <c r="Y52" s="112"/>
      <c r="Z52" s="248">
        <f>SUM(Z50,Z36,Z30)/3</f>
        <v>67.698412698412696</v>
      </c>
      <c r="AA52" s="250">
        <f>SUM(AA50,AA36,AA30)/3</f>
        <v>15.206349206349207</v>
      </c>
      <c r="AB52" s="527">
        <f>SUM(AB50,AB36,AB30)/3</f>
        <v>0</v>
      </c>
      <c r="AC52" s="248">
        <f>SUM(AC50,AC36,AC30)/3</f>
        <v>53.636601307189544</v>
      </c>
      <c r="AD52" s="249">
        <f>SUM(AD30,AD36,AD50)/3</f>
        <v>13.15</v>
      </c>
      <c r="AE52" s="250">
        <f>SUM(AE50,AE36,AE30)/3</f>
        <v>61.738888888888887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20" t="s">
        <v>0</v>
      </c>
      <c r="AD53" s="620"/>
      <c r="AE53" s="62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7" t="s">
        <v>33</v>
      </c>
      <c r="L54" s="697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FD6A-0261-46C9-85E6-9188D45CFE1C}">
  <dimension ref="A1:AI55"/>
  <sheetViews>
    <sheetView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8"/>
      <c r="Z2" s="698"/>
      <c r="AA2" s="698"/>
      <c r="AB2" s="698"/>
      <c r="AC2" s="698"/>
      <c r="AD2" s="698"/>
      <c r="AE2" s="698"/>
      <c r="AF2" s="698"/>
    </row>
    <row r="3" spans="1:34" s="6" customFormat="1" ht="37.5" customHeight="1" x14ac:dyDescent="0.2">
      <c r="A3" s="686" t="s">
        <v>100</v>
      </c>
      <c r="B3" s="621"/>
      <c r="C3" s="30"/>
      <c r="D3" s="699" t="s">
        <v>61</v>
      </c>
      <c r="E3" s="701" t="s">
        <v>101</v>
      </c>
      <c r="F3" s="702"/>
      <c r="G3" s="31"/>
      <c r="H3" s="703" t="s">
        <v>99</v>
      </c>
      <c r="I3" s="704"/>
      <c r="J3" s="30"/>
      <c r="K3" s="705" t="s">
        <v>36</v>
      </c>
      <c r="L3" s="706"/>
      <c r="M3" s="645" t="s">
        <v>71</v>
      </c>
      <c r="N3" s="707" t="s">
        <v>73</v>
      </c>
      <c r="O3" s="32"/>
      <c r="P3" s="709" t="s">
        <v>69</v>
      </c>
      <c r="Q3" s="710"/>
      <c r="R3" s="710"/>
      <c r="S3" s="710"/>
      <c r="T3" s="710"/>
      <c r="U3" s="710"/>
      <c r="V3" s="710"/>
      <c r="W3" s="710"/>
      <c r="X3" s="711"/>
      <c r="Y3" s="32"/>
      <c r="Z3" s="712" t="s">
        <v>60</v>
      </c>
      <c r="AA3" s="713"/>
      <c r="AB3" s="714"/>
      <c r="AC3" s="714"/>
      <c r="AD3" s="714"/>
      <c r="AE3" s="714"/>
      <c r="AF3" s="30"/>
    </row>
    <row r="4" spans="1:34" s="6" customFormat="1" ht="38.25" x14ac:dyDescent="0.2">
      <c r="A4" s="622" t="s">
        <v>19</v>
      </c>
      <c r="B4" s="623" t="s">
        <v>45</v>
      </c>
      <c r="C4" s="16"/>
      <c r="D4" s="700"/>
      <c r="E4" s="685" t="s">
        <v>91</v>
      </c>
      <c r="F4" s="685" t="s">
        <v>98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646" t="s">
        <v>74</v>
      </c>
      <c r="N4" s="708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624"/>
      <c r="B5" s="625"/>
      <c r="C5" s="16"/>
      <c r="D5" s="15"/>
      <c r="E5" s="16"/>
      <c r="F5" s="15"/>
      <c r="G5" s="15"/>
      <c r="H5" s="17"/>
      <c r="I5" s="17"/>
      <c r="J5" s="17"/>
      <c r="K5" s="18"/>
      <c r="L5" s="19"/>
      <c r="M5" s="647"/>
      <c r="N5" s="647"/>
      <c r="O5" s="679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670">
        <v>197</v>
      </c>
      <c r="B6" s="626">
        <v>32</v>
      </c>
      <c r="C6" s="416"/>
      <c r="D6" s="466" t="s">
        <v>1</v>
      </c>
      <c r="E6" s="638">
        <v>10</v>
      </c>
      <c r="F6" s="468" t="s">
        <v>0</v>
      </c>
      <c r="G6" s="420"/>
      <c r="H6" s="502">
        <v>187</v>
      </c>
      <c r="I6" s="465">
        <v>31</v>
      </c>
      <c r="J6" s="423"/>
      <c r="K6" s="470">
        <f t="shared" ref="K6:K24" si="0">H6-A6</f>
        <v>-10</v>
      </c>
      <c r="L6" s="471">
        <f t="shared" ref="L6:L24" si="1">SUM(K6/A6*100)</f>
        <v>-5.0761421319796955</v>
      </c>
      <c r="M6" s="648">
        <f t="shared" ref="M6:M24" si="2">SUM(A6+P6-S6-U6-X6)</f>
        <v>187</v>
      </c>
      <c r="N6" s="649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617" t="s">
        <v>97</v>
      </c>
      <c r="U6" s="505">
        <v>10</v>
      </c>
      <c r="V6" s="617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69</v>
      </c>
      <c r="AF6" s="45"/>
      <c r="AH6" s="2" t="s">
        <v>0</v>
      </c>
    </row>
    <row r="7" spans="1:34" ht="21.75" customHeight="1" x14ac:dyDescent="0.2">
      <c r="A7" s="671">
        <v>416</v>
      </c>
      <c r="B7" s="627">
        <v>42</v>
      </c>
      <c r="C7" s="21"/>
      <c r="D7" s="99" t="s">
        <v>2</v>
      </c>
      <c r="E7" s="639">
        <v>16</v>
      </c>
      <c r="F7" s="142" t="s">
        <v>0</v>
      </c>
      <c r="G7" s="22"/>
      <c r="H7" s="44">
        <v>398</v>
      </c>
      <c r="I7" s="62">
        <v>42</v>
      </c>
      <c r="J7" s="45"/>
      <c r="K7" s="78">
        <f t="shared" si="0"/>
        <v>-18</v>
      </c>
      <c r="L7" s="79">
        <f t="shared" si="1"/>
        <v>-4.3269230769230766</v>
      </c>
      <c r="M7" s="650">
        <f t="shared" si="2"/>
        <v>402</v>
      </c>
      <c r="N7" s="651">
        <f t="shared" si="3"/>
        <v>-4</v>
      </c>
      <c r="O7" s="28"/>
      <c r="P7" s="7">
        <v>3</v>
      </c>
      <c r="Q7" s="7">
        <v>8</v>
      </c>
      <c r="R7" s="125"/>
      <c r="S7" s="42">
        <v>6</v>
      </c>
      <c r="T7" s="154" t="s">
        <v>97</v>
      </c>
      <c r="U7" s="43">
        <v>9</v>
      </c>
      <c r="V7" s="154" t="s">
        <v>97</v>
      </c>
      <c r="W7" s="125"/>
      <c r="X7" s="41">
        <v>2</v>
      </c>
      <c r="Y7" s="28"/>
      <c r="Z7" s="484">
        <v>70</v>
      </c>
      <c r="AA7" s="62">
        <v>20</v>
      </c>
      <c r="AB7" s="45"/>
      <c r="AC7" s="71">
        <v>55</v>
      </c>
      <c r="AD7" s="51">
        <v>17</v>
      </c>
      <c r="AE7" s="510">
        <v>75</v>
      </c>
      <c r="AF7" s="45"/>
    </row>
    <row r="8" spans="1:34" ht="21.75" customHeight="1" x14ac:dyDescent="0.2">
      <c r="A8" s="671">
        <v>247</v>
      </c>
      <c r="B8" s="627">
        <v>13</v>
      </c>
      <c r="C8" s="21"/>
      <c r="D8" s="99" t="s">
        <v>34</v>
      </c>
      <c r="E8" s="639">
        <v>10</v>
      </c>
      <c r="F8" s="142" t="s">
        <v>0</v>
      </c>
      <c r="G8" s="22"/>
      <c r="H8" s="44">
        <v>240</v>
      </c>
      <c r="I8" s="62">
        <v>15</v>
      </c>
      <c r="J8" s="45"/>
      <c r="K8" s="78">
        <f t="shared" si="0"/>
        <v>-7</v>
      </c>
      <c r="L8" s="79">
        <f t="shared" si="1"/>
        <v>-2.834008097165992</v>
      </c>
      <c r="M8" s="650">
        <f t="shared" si="2"/>
        <v>241</v>
      </c>
      <c r="N8" s="651">
        <f t="shared" si="3"/>
        <v>-1</v>
      </c>
      <c r="O8" s="28"/>
      <c r="P8" s="7">
        <v>3</v>
      </c>
      <c r="Q8" s="7">
        <v>2</v>
      </c>
      <c r="R8" s="125"/>
      <c r="S8" s="39">
        <v>8</v>
      </c>
      <c r="T8" s="154" t="s">
        <v>97</v>
      </c>
      <c r="U8" s="43">
        <v>1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55</v>
      </c>
      <c r="AD8" s="51">
        <v>22</v>
      </c>
      <c r="AE8" s="510">
        <v>70</v>
      </c>
      <c r="AF8" s="45"/>
    </row>
    <row r="9" spans="1:34" ht="21.75" customHeight="1" x14ac:dyDescent="0.2">
      <c r="A9" s="671">
        <v>147</v>
      </c>
      <c r="B9" s="627">
        <v>27</v>
      </c>
      <c r="C9" s="21"/>
      <c r="D9" s="99" t="s">
        <v>35</v>
      </c>
      <c r="E9" s="639">
        <v>8</v>
      </c>
      <c r="F9" s="142" t="s">
        <v>0</v>
      </c>
      <c r="G9" s="22"/>
      <c r="H9" s="44">
        <v>143</v>
      </c>
      <c r="I9" s="62">
        <v>27</v>
      </c>
      <c r="J9" s="45"/>
      <c r="K9" s="78">
        <f t="shared" si="0"/>
        <v>-4</v>
      </c>
      <c r="L9" s="79">
        <f t="shared" si="1"/>
        <v>-2.7210884353741496</v>
      </c>
      <c r="M9" s="650">
        <f t="shared" si="2"/>
        <v>143</v>
      </c>
      <c r="N9" s="651">
        <f t="shared" si="3"/>
        <v>0</v>
      </c>
      <c r="O9" s="28"/>
      <c r="P9" s="7">
        <v>0</v>
      </c>
      <c r="Q9" s="7">
        <v>0</v>
      </c>
      <c r="R9" s="125"/>
      <c r="S9" s="39">
        <v>2</v>
      </c>
      <c r="T9" s="154" t="s">
        <v>97</v>
      </c>
      <c r="U9" s="43">
        <v>2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5</v>
      </c>
      <c r="AE9" s="511">
        <v>76</v>
      </c>
      <c r="AF9" s="45"/>
    </row>
    <row r="10" spans="1:34" ht="21.75" customHeight="1" x14ac:dyDescent="0.2">
      <c r="A10" s="671">
        <v>302</v>
      </c>
      <c r="B10" s="627">
        <v>29</v>
      </c>
      <c r="C10" s="21"/>
      <c r="D10" s="99" t="s">
        <v>3</v>
      </c>
      <c r="E10" s="639">
        <v>11</v>
      </c>
      <c r="F10" s="142" t="s">
        <v>0</v>
      </c>
      <c r="G10" s="22"/>
      <c r="H10" s="44">
        <v>297</v>
      </c>
      <c r="I10" s="62">
        <v>30</v>
      </c>
      <c r="J10" s="45"/>
      <c r="K10" s="78">
        <f t="shared" si="0"/>
        <v>-5</v>
      </c>
      <c r="L10" s="79">
        <f t="shared" si="1"/>
        <v>-1.6556291390728477</v>
      </c>
      <c r="M10" s="650">
        <f t="shared" si="2"/>
        <v>296</v>
      </c>
      <c r="N10" s="651">
        <f t="shared" si="3"/>
        <v>1</v>
      </c>
      <c r="O10" s="28"/>
      <c r="P10" s="7">
        <v>3</v>
      </c>
      <c r="Q10" s="7">
        <v>2</v>
      </c>
      <c r="R10" s="125"/>
      <c r="S10" s="42">
        <v>3</v>
      </c>
      <c r="T10" s="154" t="s">
        <v>97</v>
      </c>
      <c r="U10" s="43">
        <v>6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67</v>
      </c>
      <c r="AD10" s="51">
        <v>15</v>
      </c>
      <c r="AE10" s="510">
        <v>63</v>
      </c>
      <c r="AF10" s="45"/>
    </row>
    <row r="11" spans="1:34" ht="21.75" customHeight="1" x14ac:dyDescent="0.2">
      <c r="A11" s="671">
        <v>282</v>
      </c>
      <c r="B11" s="627">
        <v>30</v>
      </c>
      <c r="C11" s="21"/>
      <c r="D11" s="99" t="s">
        <v>4</v>
      </c>
      <c r="E11" s="639">
        <v>17</v>
      </c>
      <c r="F11" s="142" t="s">
        <v>0</v>
      </c>
      <c r="G11" s="22"/>
      <c r="H11" s="44">
        <v>281</v>
      </c>
      <c r="I11" s="62">
        <v>29</v>
      </c>
      <c r="J11" s="45"/>
      <c r="K11" s="78">
        <f t="shared" si="0"/>
        <v>-1</v>
      </c>
      <c r="L11" s="79">
        <f t="shared" si="1"/>
        <v>-0.3546099290780142</v>
      </c>
      <c r="M11" s="650">
        <f t="shared" si="2"/>
        <v>282</v>
      </c>
      <c r="N11" s="651">
        <f t="shared" si="3"/>
        <v>-1</v>
      </c>
      <c r="O11" s="28"/>
      <c r="P11" s="7">
        <v>9</v>
      </c>
      <c r="Q11" s="7">
        <v>0</v>
      </c>
      <c r="R11" s="125"/>
      <c r="S11" s="39">
        <v>2</v>
      </c>
      <c r="T11" s="154" t="s">
        <v>97</v>
      </c>
      <c r="U11" s="40">
        <v>5</v>
      </c>
      <c r="V11" s="154" t="s">
        <v>97</v>
      </c>
      <c r="W11" s="125"/>
      <c r="X11" s="41">
        <v>2</v>
      </c>
      <c r="Y11" s="28"/>
      <c r="Z11" s="484">
        <v>72</v>
      </c>
      <c r="AA11" s="62">
        <v>23</v>
      </c>
      <c r="AB11" s="45"/>
      <c r="AC11" s="152">
        <v>53</v>
      </c>
      <c r="AD11" s="7">
        <v>25</v>
      </c>
      <c r="AE11" s="446">
        <v>71</v>
      </c>
      <c r="AF11" s="45"/>
    </row>
    <row r="12" spans="1:34" ht="21.75" customHeight="1" x14ac:dyDescent="0.2">
      <c r="A12" s="671">
        <v>647</v>
      </c>
      <c r="B12" s="627">
        <v>49</v>
      </c>
      <c r="C12" s="21"/>
      <c r="D12" s="99" t="s">
        <v>5</v>
      </c>
      <c r="E12" s="639">
        <v>23</v>
      </c>
      <c r="F12" s="142" t="s">
        <v>0</v>
      </c>
      <c r="G12" s="22"/>
      <c r="H12" s="44">
        <v>626</v>
      </c>
      <c r="I12" s="62">
        <v>49</v>
      </c>
      <c r="J12" s="45"/>
      <c r="K12" s="78">
        <f t="shared" si="0"/>
        <v>-21</v>
      </c>
      <c r="L12" s="79">
        <f t="shared" si="1"/>
        <v>-3.2457496136012365</v>
      </c>
      <c r="M12" s="650">
        <f t="shared" si="2"/>
        <v>625</v>
      </c>
      <c r="N12" s="651">
        <f t="shared" si="3"/>
        <v>1</v>
      </c>
      <c r="O12" s="28"/>
      <c r="P12" s="7">
        <v>2</v>
      </c>
      <c r="Q12" s="7">
        <v>1</v>
      </c>
      <c r="R12" s="125"/>
      <c r="S12" s="42">
        <v>10</v>
      </c>
      <c r="T12" s="154" t="s">
        <v>97</v>
      </c>
      <c r="U12" s="43">
        <v>11</v>
      </c>
      <c r="V12" s="154" t="s">
        <v>97</v>
      </c>
      <c r="W12" s="125"/>
      <c r="X12" s="41">
        <v>3</v>
      </c>
      <c r="Y12" s="28"/>
      <c r="Z12" s="484">
        <v>71</v>
      </c>
      <c r="AA12" s="62">
        <v>23</v>
      </c>
      <c r="AB12" s="45"/>
      <c r="AC12" s="109">
        <v>57</v>
      </c>
      <c r="AD12" s="51">
        <v>19</v>
      </c>
      <c r="AE12" s="510">
        <v>67</v>
      </c>
      <c r="AF12" s="45"/>
    </row>
    <row r="13" spans="1:34" ht="21.75" customHeight="1" x14ac:dyDescent="0.2">
      <c r="A13" s="671">
        <v>308</v>
      </c>
      <c r="B13" s="627">
        <v>30</v>
      </c>
      <c r="C13" s="21"/>
      <c r="D13" s="99" t="s">
        <v>6</v>
      </c>
      <c r="E13" s="639">
        <v>14</v>
      </c>
      <c r="F13" s="142" t="s">
        <v>0</v>
      </c>
      <c r="G13" s="22"/>
      <c r="H13" s="44">
        <v>285</v>
      </c>
      <c r="I13" s="62">
        <v>24</v>
      </c>
      <c r="J13" s="45"/>
      <c r="K13" s="78">
        <f t="shared" si="0"/>
        <v>-23</v>
      </c>
      <c r="L13" s="79">
        <f t="shared" si="1"/>
        <v>-7.4675324675324672</v>
      </c>
      <c r="M13" s="650">
        <f t="shared" si="2"/>
        <v>287</v>
      </c>
      <c r="N13" s="651">
        <f t="shared" si="3"/>
        <v>-2</v>
      </c>
      <c r="O13" s="28"/>
      <c r="P13" s="7">
        <v>0</v>
      </c>
      <c r="Q13" s="7">
        <v>0</v>
      </c>
      <c r="R13" s="125"/>
      <c r="S13" s="39">
        <v>15</v>
      </c>
      <c r="T13" s="154" t="s">
        <v>97</v>
      </c>
      <c r="U13" s="43">
        <v>4</v>
      </c>
      <c r="V13" s="154" t="s">
        <v>97</v>
      </c>
      <c r="W13" s="125"/>
      <c r="X13" s="41">
        <v>2</v>
      </c>
      <c r="Y13" s="28"/>
      <c r="Z13" s="484">
        <v>72</v>
      </c>
      <c r="AA13" s="62">
        <v>24</v>
      </c>
      <c r="AB13" s="45"/>
      <c r="AC13" s="71">
        <v>0</v>
      </c>
      <c r="AD13" s="51">
        <v>22</v>
      </c>
      <c r="AE13" s="510">
        <v>70</v>
      </c>
      <c r="AF13" s="45"/>
    </row>
    <row r="14" spans="1:34" ht="21.75" customHeight="1" x14ac:dyDescent="0.2">
      <c r="A14" s="671">
        <v>587</v>
      </c>
      <c r="B14" s="627">
        <v>54</v>
      </c>
      <c r="C14" s="21"/>
      <c r="D14" s="99" t="s">
        <v>7</v>
      </c>
      <c r="E14" s="639">
        <v>19</v>
      </c>
      <c r="F14" s="142" t="s">
        <v>0</v>
      </c>
      <c r="G14" s="22"/>
      <c r="H14" s="44">
        <v>567</v>
      </c>
      <c r="I14" s="62">
        <v>52</v>
      </c>
      <c r="J14" s="45"/>
      <c r="K14" s="78">
        <f t="shared" si="0"/>
        <v>-20</v>
      </c>
      <c r="L14" s="79">
        <f t="shared" si="1"/>
        <v>-3.4071550255536627</v>
      </c>
      <c r="M14" s="650">
        <f t="shared" si="2"/>
        <v>571</v>
      </c>
      <c r="N14" s="651">
        <f t="shared" si="3"/>
        <v>-4</v>
      </c>
      <c r="O14" s="28"/>
      <c r="P14" s="7">
        <v>5</v>
      </c>
      <c r="Q14" s="7">
        <v>3</v>
      </c>
      <c r="R14" s="125"/>
      <c r="S14" s="42">
        <v>8</v>
      </c>
      <c r="T14" s="154" t="s">
        <v>97</v>
      </c>
      <c r="U14" s="43">
        <v>12</v>
      </c>
      <c r="V14" s="154" t="s">
        <v>97</v>
      </c>
      <c r="W14" s="125"/>
      <c r="X14" s="41">
        <v>1</v>
      </c>
      <c r="Y14" s="28"/>
      <c r="Z14" s="484">
        <v>70</v>
      </c>
      <c r="AA14" s="62">
        <v>20</v>
      </c>
      <c r="AB14" s="45"/>
      <c r="AC14" s="71">
        <v>41</v>
      </c>
      <c r="AD14" s="7">
        <v>13</v>
      </c>
      <c r="AE14" s="446">
        <v>60</v>
      </c>
      <c r="AF14" s="45"/>
    </row>
    <row r="15" spans="1:34" ht="21.75" customHeight="1" x14ac:dyDescent="0.2">
      <c r="A15" s="671">
        <v>309</v>
      </c>
      <c r="B15" s="627">
        <v>24</v>
      </c>
      <c r="C15" s="21"/>
      <c r="D15" s="99" t="s">
        <v>8</v>
      </c>
      <c r="E15" s="639">
        <v>15</v>
      </c>
      <c r="F15" s="142" t="s">
        <v>0</v>
      </c>
      <c r="G15" s="22"/>
      <c r="H15" s="44">
        <v>289</v>
      </c>
      <c r="I15" s="62">
        <v>20</v>
      </c>
      <c r="J15" s="45"/>
      <c r="K15" s="78">
        <f t="shared" si="0"/>
        <v>-20</v>
      </c>
      <c r="L15" s="79">
        <f t="shared" si="1"/>
        <v>-6.4724919093851128</v>
      </c>
      <c r="M15" s="650">
        <f t="shared" si="2"/>
        <v>289</v>
      </c>
      <c r="N15" s="651">
        <f t="shared" si="3"/>
        <v>0</v>
      </c>
      <c r="O15" s="28"/>
      <c r="P15" s="7">
        <v>0</v>
      </c>
      <c r="Q15" s="7">
        <v>1</v>
      </c>
      <c r="R15" s="125"/>
      <c r="S15" s="39">
        <v>6</v>
      </c>
      <c r="T15" s="154" t="s">
        <v>97</v>
      </c>
      <c r="U15" s="43">
        <v>14</v>
      </c>
      <c r="V15" s="154" t="s">
        <v>97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17</v>
      </c>
      <c r="AE15" s="510">
        <v>67</v>
      </c>
      <c r="AF15" s="45"/>
    </row>
    <row r="16" spans="1:34" ht="21.75" customHeight="1" x14ac:dyDescent="0.2">
      <c r="A16" s="671">
        <v>461</v>
      </c>
      <c r="B16" s="627">
        <v>28</v>
      </c>
      <c r="C16" s="21"/>
      <c r="D16" s="99" t="s">
        <v>9</v>
      </c>
      <c r="E16" s="639">
        <v>17</v>
      </c>
      <c r="F16" s="142" t="s">
        <v>0</v>
      </c>
      <c r="G16" s="22"/>
      <c r="H16" s="44">
        <v>457</v>
      </c>
      <c r="I16" s="62">
        <v>29</v>
      </c>
      <c r="J16" s="45"/>
      <c r="K16" s="78">
        <f t="shared" si="0"/>
        <v>-4</v>
      </c>
      <c r="L16" s="79">
        <f t="shared" si="1"/>
        <v>-0.86767895878524948</v>
      </c>
      <c r="M16" s="650">
        <f t="shared" si="2"/>
        <v>451</v>
      </c>
      <c r="N16" s="651">
        <f t="shared" si="3"/>
        <v>6</v>
      </c>
      <c r="O16" s="28"/>
      <c r="P16" s="7">
        <v>1</v>
      </c>
      <c r="Q16" s="7">
        <v>4</v>
      </c>
      <c r="R16" s="125"/>
      <c r="S16" s="39">
        <v>3</v>
      </c>
      <c r="T16" s="154" t="s">
        <v>97</v>
      </c>
      <c r="U16" s="40">
        <v>8</v>
      </c>
      <c r="V16" s="154" t="s">
        <v>97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59</v>
      </c>
      <c r="AD16" s="51">
        <v>17</v>
      </c>
      <c r="AE16" s="510">
        <v>69</v>
      </c>
      <c r="AF16" s="45"/>
    </row>
    <row r="17" spans="1:35" ht="21.75" customHeight="1" x14ac:dyDescent="0.2">
      <c r="A17" s="671">
        <v>372</v>
      </c>
      <c r="B17" s="627">
        <v>40</v>
      </c>
      <c r="C17" s="21"/>
      <c r="D17" s="99" t="s">
        <v>10</v>
      </c>
      <c r="E17" s="639">
        <v>15</v>
      </c>
      <c r="F17" s="142" t="s">
        <v>0</v>
      </c>
      <c r="G17" s="22"/>
      <c r="H17" s="44">
        <v>361</v>
      </c>
      <c r="I17" s="62">
        <v>41</v>
      </c>
      <c r="J17" s="45"/>
      <c r="K17" s="78">
        <f t="shared" si="0"/>
        <v>-11</v>
      </c>
      <c r="L17" s="79">
        <f t="shared" si="1"/>
        <v>-2.956989247311828</v>
      </c>
      <c r="M17" s="650">
        <f t="shared" si="2"/>
        <v>361</v>
      </c>
      <c r="N17" s="651">
        <f t="shared" si="3"/>
        <v>0</v>
      </c>
      <c r="O17" s="28"/>
      <c r="P17" s="7">
        <v>2</v>
      </c>
      <c r="Q17" s="7">
        <v>1</v>
      </c>
      <c r="R17" s="125"/>
      <c r="S17" s="39">
        <v>8</v>
      </c>
      <c r="T17" s="154" t="s">
        <v>97</v>
      </c>
      <c r="U17" s="43">
        <v>5</v>
      </c>
      <c r="V17" s="154" t="s">
        <v>97</v>
      </c>
      <c r="W17" s="125"/>
      <c r="X17" s="41">
        <v>0</v>
      </c>
      <c r="Y17" s="28"/>
      <c r="Z17" s="484">
        <v>73</v>
      </c>
      <c r="AA17" s="62">
        <v>22</v>
      </c>
      <c r="AB17" s="45"/>
      <c r="AC17" s="109">
        <v>65</v>
      </c>
      <c r="AD17" s="7">
        <v>14</v>
      </c>
      <c r="AE17" s="446">
        <v>64</v>
      </c>
      <c r="AF17" s="45"/>
    </row>
    <row r="18" spans="1:35" ht="21.75" customHeight="1" x14ac:dyDescent="0.2">
      <c r="A18" s="671">
        <v>168</v>
      </c>
      <c r="B18" s="627">
        <v>19</v>
      </c>
      <c r="C18" s="21"/>
      <c r="D18" s="99" t="s">
        <v>11</v>
      </c>
      <c r="E18" s="639">
        <v>8</v>
      </c>
      <c r="F18" s="142" t="s">
        <v>0</v>
      </c>
      <c r="G18" s="22"/>
      <c r="H18" s="44">
        <v>163</v>
      </c>
      <c r="I18" s="62">
        <v>14</v>
      </c>
      <c r="J18" s="45"/>
      <c r="K18" s="78">
        <f t="shared" si="0"/>
        <v>-5</v>
      </c>
      <c r="L18" s="79">
        <f t="shared" si="1"/>
        <v>-2.9761904761904758</v>
      </c>
      <c r="M18" s="650">
        <f t="shared" si="2"/>
        <v>161</v>
      </c>
      <c r="N18" s="651">
        <f t="shared" si="3"/>
        <v>2</v>
      </c>
      <c r="O18" s="28"/>
      <c r="P18" s="7">
        <v>2</v>
      </c>
      <c r="Q18" s="7">
        <v>0</v>
      </c>
      <c r="R18" s="125"/>
      <c r="S18" s="42">
        <v>5</v>
      </c>
      <c r="T18" s="154" t="s">
        <v>97</v>
      </c>
      <c r="U18" s="43">
        <v>3</v>
      </c>
      <c r="V18" s="154" t="s">
        <v>97</v>
      </c>
      <c r="W18" s="125"/>
      <c r="X18" s="41">
        <v>1</v>
      </c>
      <c r="Y18" s="28"/>
      <c r="Z18" s="484">
        <v>72</v>
      </c>
      <c r="AA18" s="62">
        <v>21</v>
      </c>
      <c r="AB18" s="45"/>
      <c r="AC18" s="399">
        <v>64</v>
      </c>
      <c r="AD18" s="7">
        <v>22</v>
      </c>
      <c r="AE18" s="446">
        <v>66</v>
      </c>
      <c r="AF18" s="45"/>
    </row>
    <row r="19" spans="1:35" ht="21.75" customHeight="1" x14ac:dyDescent="0.2">
      <c r="A19" s="671">
        <v>387</v>
      </c>
      <c r="B19" s="627">
        <v>26</v>
      </c>
      <c r="C19" s="21"/>
      <c r="D19" s="99" t="s">
        <v>12</v>
      </c>
      <c r="E19" s="639">
        <v>14</v>
      </c>
      <c r="F19" s="142" t="s">
        <v>0</v>
      </c>
      <c r="G19" s="22"/>
      <c r="H19" s="44">
        <v>366</v>
      </c>
      <c r="I19" s="62">
        <v>23</v>
      </c>
      <c r="J19" s="45"/>
      <c r="K19" s="78">
        <f t="shared" si="0"/>
        <v>-21</v>
      </c>
      <c r="L19" s="79">
        <f t="shared" si="1"/>
        <v>-5.4263565891472867</v>
      </c>
      <c r="M19" s="650">
        <f t="shared" si="2"/>
        <v>367</v>
      </c>
      <c r="N19" s="651">
        <f t="shared" si="3"/>
        <v>-1</v>
      </c>
      <c r="O19" s="28"/>
      <c r="P19" s="7">
        <v>1</v>
      </c>
      <c r="Q19" s="7">
        <v>1</v>
      </c>
      <c r="R19" s="125"/>
      <c r="S19" s="42">
        <v>8</v>
      </c>
      <c r="T19" s="154" t="s">
        <v>97</v>
      </c>
      <c r="U19" s="43">
        <v>11</v>
      </c>
      <c r="V19" s="154" t="s">
        <v>97</v>
      </c>
      <c r="W19" s="125"/>
      <c r="X19" s="41">
        <v>2</v>
      </c>
      <c r="Y19" s="28"/>
      <c r="Z19" s="484">
        <v>70</v>
      </c>
      <c r="AA19" s="62">
        <v>20</v>
      </c>
      <c r="AB19" s="45"/>
      <c r="AC19" s="152">
        <v>59</v>
      </c>
      <c r="AD19" s="7">
        <v>18</v>
      </c>
      <c r="AE19" s="446">
        <v>66</v>
      </c>
      <c r="AF19" s="45"/>
    </row>
    <row r="20" spans="1:35" ht="21.75" customHeight="1" x14ac:dyDescent="0.2">
      <c r="A20" s="671">
        <v>296</v>
      </c>
      <c r="B20" s="627">
        <v>9</v>
      </c>
      <c r="C20" s="21"/>
      <c r="D20" s="99" t="s">
        <v>13</v>
      </c>
      <c r="E20" s="639">
        <v>11</v>
      </c>
      <c r="F20" s="142" t="s">
        <v>0</v>
      </c>
      <c r="G20" s="22"/>
      <c r="H20" s="44">
        <v>295</v>
      </c>
      <c r="I20" s="62">
        <v>9</v>
      </c>
      <c r="J20" s="45"/>
      <c r="K20" s="78">
        <f t="shared" si="0"/>
        <v>-1</v>
      </c>
      <c r="L20" s="79">
        <f t="shared" si="1"/>
        <v>-0.33783783783783783</v>
      </c>
      <c r="M20" s="650">
        <f t="shared" si="2"/>
        <v>294</v>
      </c>
      <c r="N20" s="651">
        <f t="shared" si="3"/>
        <v>1</v>
      </c>
      <c r="O20" s="28"/>
      <c r="P20" s="7">
        <v>2</v>
      </c>
      <c r="Q20" s="7">
        <v>0</v>
      </c>
      <c r="R20" s="125"/>
      <c r="S20" s="42">
        <v>1</v>
      </c>
      <c r="T20" s="154" t="s">
        <v>97</v>
      </c>
      <c r="U20" s="43">
        <v>3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77</v>
      </c>
      <c r="AD20" s="7">
        <v>19</v>
      </c>
      <c r="AE20" s="446">
        <v>66</v>
      </c>
      <c r="AF20" s="45"/>
    </row>
    <row r="21" spans="1:35" ht="21.75" customHeight="1" x14ac:dyDescent="0.2">
      <c r="A21" s="671">
        <v>308</v>
      </c>
      <c r="B21" s="627">
        <v>22</v>
      </c>
      <c r="C21" s="21"/>
      <c r="D21" s="99" t="s">
        <v>14</v>
      </c>
      <c r="E21" s="639">
        <v>11</v>
      </c>
      <c r="F21" s="142" t="s">
        <v>0</v>
      </c>
      <c r="G21" s="22"/>
      <c r="H21" s="44">
        <v>300</v>
      </c>
      <c r="I21" s="62">
        <v>26</v>
      </c>
      <c r="J21" s="45"/>
      <c r="K21" s="78">
        <f t="shared" si="0"/>
        <v>-8</v>
      </c>
      <c r="L21" s="79">
        <f t="shared" si="1"/>
        <v>-2.5974025974025974</v>
      </c>
      <c r="M21" s="650">
        <f t="shared" si="2"/>
        <v>298</v>
      </c>
      <c r="N21" s="651">
        <f t="shared" si="3"/>
        <v>2</v>
      </c>
      <c r="O21" s="28"/>
      <c r="P21" s="7">
        <v>2</v>
      </c>
      <c r="Q21" s="7">
        <v>5</v>
      </c>
      <c r="R21" s="125"/>
      <c r="S21" s="42">
        <v>4</v>
      </c>
      <c r="T21" s="154" t="s">
        <v>97</v>
      </c>
      <c r="U21" s="43">
        <v>7</v>
      </c>
      <c r="V21" s="154" t="s">
        <v>97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69</v>
      </c>
      <c r="AD21" s="7">
        <v>27</v>
      </c>
      <c r="AE21" s="446">
        <v>74</v>
      </c>
      <c r="AF21" s="45"/>
    </row>
    <row r="22" spans="1:35" ht="21.75" customHeight="1" x14ac:dyDescent="0.2">
      <c r="A22" s="671">
        <v>259</v>
      </c>
      <c r="B22" s="627">
        <v>27</v>
      </c>
      <c r="C22" s="21"/>
      <c r="D22" s="99" t="s">
        <v>15</v>
      </c>
      <c r="E22" s="639">
        <v>12</v>
      </c>
      <c r="F22" s="142" t="s">
        <v>0</v>
      </c>
      <c r="G22" s="22"/>
      <c r="H22" s="44">
        <v>252</v>
      </c>
      <c r="I22" s="62">
        <v>27</v>
      </c>
      <c r="J22" s="45"/>
      <c r="K22" s="78">
        <f t="shared" si="0"/>
        <v>-7</v>
      </c>
      <c r="L22" s="79">
        <f t="shared" si="1"/>
        <v>-2.7027027027027026</v>
      </c>
      <c r="M22" s="650">
        <f t="shared" si="2"/>
        <v>252</v>
      </c>
      <c r="N22" s="651">
        <f t="shared" si="3"/>
        <v>0</v>
      </c>
      <c r="O22" s="28"/>
      <c r="P22" s="7">
        <v>3</v>
      </c>
      <c r="Q22" s="7">
        <v>1</v>
      </c>
      <c r="R22" s="125"/>
      <c r="S22" s="42">
        <v>2</v>
      </c>
      <c r="T22" s="154" t="s">
        <v>97</v>
      </c>
      <c r="U22" s="43">
        <v>8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77</v>
      </c>
      <c r="AD22" s="154">
        <v>27</v>
      </c>
      <c r="AE22" s="485">
        <v>76</v>
      </c>
      <c r="AF22" s="45"/>
      <c r="AH22" s="355" t="s">
        <v>0</v>
      </c>
    </row>
    <row r="23" spans="1:35" ht="21.75" customHeight="1" x14ac:dyDescent="0.2">
      <c r="A23" s="671">
        <v>722</v>
      </c>
      <c r="B23" s="627">
        <v>57</v>
      </c>
      <c r="C23" s="21"/>
      <c r="D23" s="99" t="s">
        <v>16</v>
      </c>
      <c r="E23" s="639">
        <v>22</v>
      </c>
      <c r="F23" s="142" t="s">
        <v>0</v>
      </c>
      <c r="G23" s="22"/>
      <c r="H23" s="44">
        <v>702</v>
      </c>
      <c r="I23" s="62">
        <v>57</v>
      </c>
      <c r="J23" s="45"/>
      <c r="K23" s="78">
        <f t="shared" si="0"/>
        <v>-20</v>
      </c>
      <c r="L23" s="79">
        <f t="shared" si="1"/>
        <v>-2.7700831024930745</v>
      </c>
      <c r="M23" s="650">
        <f t="shared" si="2"/>
        <v>700</v>
      </c>
      <c r="N23" s="651">
        <f t="shared" si="3"/>
        <v>2</v>
      </c>
      <c r="O23" s="28"/>
      <c r="P23" s="7">
        <v>10</v>
      </c>
      <c r="Q23" s="7">
        <v>2</v>
      </c>
      <c r="R23" s="125"/>
      <c r="S23" s="42">
        <v>7</v>
      </c>
      <c r="T23" s="154" t="s">
        <v>97</v>
      </c>
      <c r="U23" s="43">
        <v>22</v>
      </c>
      <c r="V23" s="154" t="s">
        <v>97</v>
      </c>
      <c r="W23" s="125"/>
      <c r="X23" s="41">
        <v>3</v>
      </c>
      <c r="Y23" s="28"/>
      <c r="Z23" s="484">
        <v>69</v>
      </c>
      <c r="AA23" s="62">
        <v>19</v>
      </c>
      <c r="AB23" s="45"/>
      <c r="AC23" s="109">
        <v>60</v>
      </c>
      <c r="AD23" s="7">
        <v>15</v>
      </c>
      <c r="AE23" s="446">
        <v>64</v>
      </c>
      <c r="AF23" s="45"/>
    </row>
    <row r="24" spans="1:35" ht="21.75" customHeight="1" x14ac:dyDescent="0.2">
      <c r="A24" s="672">
        <v>158</v>
      </c>
      <c r="B24" s="628">
        <v>23</v>
      </c>
      <c r="C24" s="21"/>
      <c r="D24" s="402" t="s">
        <v>17</v>
      </c>
      <c r="E24" s="640">
        <v>9</v>
      </c>
      <c r="F24" s="404" t="s">
        <v>0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652">
        <f t="shared" si="2"/>
        <v>154</v>
      </c>
      <c r="N24" s="653">
        <f t="shared" si="3"/>
        <v>0</v>
      </c>
      <c r="O24" s="28"/>
      <c r="P24" s="407">
        <v>4</v>
      </c>
      <c r="Q24" s="407">
        <v>1</v>
      </c>
      <c r="R24" s="408"/>
      <c r="S24" s="409">
        <v>4</v>
      </c>
      <c r="T24" s="618" t="s">
        <v>97</v>
      </c>
      <c r="U24" s="410">
        <v>4</v>
      </c>
      <c r="V24" s="618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40</v>
      </c>
      <c r="AD24" s="407">
        <v>23</v>
      </c>
      <c r="AE24" s="513">
        <v>77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 t="s">
        <v>0</v>
      </c>
      <c r="J25" s="68"/>
      <c r="K25" s="65"/>
      <c r="L25" s="66"/>
      <c r="M25" s="654"/>
      <c r="N25" s="654"/>
      <c r="O25" s="678"/>
      <c r="P25" s="67"/>
      <c r="Q25" s="67"/>
      <c r="R25" s="127"/>
      <c r="S25" s="68"/>
      <c r="T25" s="67"/>
      <c r="U25" s="69"/>
      <c r="V25" s="67"/>
      <c r="W25" s="127"/>
      <c r="X25" s="67"/>
      <c r="Y25" s="678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673">
        <v>1</v>
      </c>
      <c r="B26" s="630">
        <v>0</v>
      </c>
      <c r="C26" s="21"/>
      <c r="D26" s="94" t="s">
        <v>89</v>
      </c>
      <c r="E26" s="641">
        <v>3</v>
      </c>
      <c r="F26" s="143" t="s">
        <v>0</v>
      </c>
      <c r="G26" s="22"/>
      <c r="H26" s="53">
        <v>1</v>
      </c>
      <c r="I26" s="72">
        <v>0</v>
      </c>
      <c r="J26" s="45"/>
      <c r="K26" s="397">
        <f>H26-A26</f>
        <v>0</v>
      </c>
      <c r="L26" s="398">
        <f>SUM(K26/A26*100)</f>
        <v>0</v>
      </c>
      <c r="M26" s="655">
        <f>SUM(A26+P26-S26-U26-X26)</f>
        <v>1</v>
      </c>
      <c r="N26" s="656">
        <f>SUM(H26-M26)</f>
        <v>0</v>
      </c>
      <c r="O26" s="679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679"/>
      <c r="Z26" s="73">
        <v>87</v>
      </c>
      <c r="AA26" s="105">
        <v>41</v>
      </c>
      <c r="AB26" s="45"/>
      <c r="AC26" s="110">
        <v>0</v>
      </c>
      <c r="AD26" s="155">
        <v>0</v>
      </c>
      <c r="AE26" s="441">
        <v>0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654"/>
      <c r="N27" s="654"/>
      <c r="O27" s="678"/>
      <c r="P27" s="67"/>
      <c r="Q27" s="67"/>
      <c r="R27" s="127"/>
      <c r="S27" s="68"/>
      <c r="T27" s="67"/>
      <c r="U27" s="69"/>
      <c r="V27" s="67"/>
      <c r="W27" s="127"/>
      <c r="X27" s="67"/>
      <c r="Y27" s="678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673">
        <v>47</v>
      </c>
      <c r="B28" s="630">
        <v>14</v>
      </c>
      <c r="C28" s="308"/>
      <c r="D28" s="94" t="s">
        <v>67</v>
      </c>
      <c r="E28" s="641">
        <v>3</v>
      </c>
      <c r="F28" s="143" t="s">
        <v>0</v>
      </c>
      <c r="G28" s="22"/>
      <c r="H28" s="306">
        <v>42</v>
      </c>
      <c r="I28" s="307">
        <v>12</v>
      </c>
      <c r="J28" s="309"/>
      <c r="K28" s="95">
        <f>H28-A28</f>
        <v>-5</v>
      </c>
      <c r="L28" s="96">
        <f>SUM(K28/A28*100)</f>
        <v>-10.638297872340425</v>
      </c>
      <c r="M28" s="655">
        <f>SUM(A28+P28-S28-U28-X28)</f>
        <v>41</v>
      </c>
      <c r="N28" s="656">
        <f>SUM(H28-M28)</f>
        <v>1</v>
      </c>
      <c r="O28" s="680"/>
      <c r="P28" s="311">
        <v>0</v>
      </c>
      <c r="Q28" s="312">
        <v>0</v>
      </c>
      <c r="R28" s="313"/>
      <c r="S28" s="314">
        <v>2</v>
      </c>
      <c r="T28" s="319" t="s">
        <v>97</v>
      </c>
      <c r="U28" s="315">
        <v>2</v>
      </c>
      <c r="V28" s="319" t="s">
        <v>97</v>
      </c>
      <c r="W28" s="316"/>
      <c r="X28" s="143">
        <v>2</v>
      </c>
      <c r="Y28" s="680"/>
      <c r="Z28" s="317">
        <v>77</v>
      </c>
      <c r="AA28" s="307">
        <v>29</v>
      </c>
      <c r="AB28" s="309"/>
      <c r="AC28" s="318">
        <v>0</v>
      </c>
      <c r="AD28" s="319">
        <v>19</v>
      </c>
      <c r="AE28" s="450">
        <v>79</v>
      </c>
      <c r="AF28" s="309"/>
    </row>
    <row r="29" spans="1:35" s="11" customFormat="1" ht="6.75" customHeight="1" x14ac:dyDescent="0.2">
      <c r="A29" s="442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654"/>
      <c r="N29" s="654"/>
      <c r="O29" s="681"/>
      <c r="P29" s="67"/>
      <c r="Q29" s="67"/>
      <c r="R29" s="127"/>
      <c r="S29" s="68"/>
      <c r="T29" s="67"/>
      <c r="U29" s="69"/>
      <c r="V29" s="67"/>
      <c r="W29" s="127"/>
      <c r="X29" s="67"/>
      <c r="Y29" s="681"/>
      <c r="Z29" s="68"/>
      <c r="AA29" s="66"/>
      <c r="AB29" s="683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2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0</v>
      </c>
      <c r="G30" s="456"/>
      <c r="H30" s="517">
        <f>SUM(H28:H29,H26,H6:H24)</f>
        <v>6406</v>
      </c>
      <c r="I30" s="517">
        <f>SUM(I28:I29,I26,I6:I24)</f>
        <v>579</v>
      </c>
      <c r="J30" s="457"/>
      <c r="K30" s="687">
        <f>SUM(K28:K29,K26,K6:K24)</f>
        <v>-215</v>
      </c>
      <c r="L30" s="687">
        <f>SUM(L28:L29,L26,L6:L24)</f>
        <v>-71.36651477949799</v>
      </c>
      <c r="M30" s="657">
        <f>SUM(M28:M29,M26,M6:M24)</f>
        <v>6403</v>
      </c>
      <c r="N30" s="682">
        <f>SUM(N28:N29,N26,N6:N24)</f>
        <v>3</v>
      </c>
      <c r="O30" s="674"/>
      <c r="P30" s="675">
        <f>SUM(P28:P29,P26,P6:P24)</f>
        <v>53</v>
      </c>
      <c r="Q30" s="675">
        <f>SUM(Q28:Q29,Q26,Q6:Q24)</f>
        <v>32</v>
      </c>
      <c r="R30" s="496"/>
      <c r="S30" s="675">
        <f>SUM(S28:S29,S26,S6:S24)</f>
        <v>105</v>
      </c>
      <c r="T30" s="675">
        <f>SUM(T28:T29,T26,T6:T24)</f>
        <v>0</v>
      </c>
      <c r="U30" s="675">
        <f>SUM(U28:U29,U26,U6:U24)</f>
        <v>147</v>
      </c>
      <c r="V30" s="675">
        <f>SUM(V28:V29,V26,V6:V24)</f>
        <v>0</v>
      </c>
      <c r="W30" s="496"/>
      <c r="X30" s="675">
        <f>SUM(X28:X29,X26,X6:X24)</f>
        <v>19</v>
      </c>
      <c r="Y30" s="674"/>
      <c r="Z30" s="676">
        <f>SUM(Z6:Z24,Z26,Z28)/21</f>
        <v>72.571428571428569</v>
      </c>
      <c r="AA30" s="676">
        <f>SUM(AA28,AA26,AA24,AA6:AA23)/21</f>
        <v>23.428571428571427</v>
      </c>
      <c r="AB30" s="684"/>
      <c r="AC30" s="676">
        <f>SUM(AC24,AC23,AC22,AC21,AC20,AC19,AC18,AC17,AC16,AC14,AC12,AC11,AC10,AC8,AC7,AC6)/16</f>
        <v>59.0625</v>
      </c>
      <c r="AD30" s="676">
        <f>SUM(AD28,AD24,AD23,AD22,AD21,AD20,AD19,AD18,AD17,AD16,AD15,AD14,AD13,AD12,AD11,AD10,AD9,AD8,AD7,AD6)/20</f>
        <v>18.899999999999999</v>
      </c>
      <c r="AE30" s="677">
        <f>SUM(AE28,AE24,AE23,AE22,AE21,AE20,AE19,AE18,AE17,AE16,AE15,AE14,AE13,AE12,AE11,AE10,AE9,AE8,AE7,AE6)/20</f>
        <v>69.45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658"/>
      <c r="N31" s="658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688">
        <v>372</v>
      </c>
      <c r="B32" s="626">
        <v>27</v>
      </c>
      <c r="C32" s="416"/>
      <c r="D32" s="466" t="s">
        <v>38</v>
      </c>
      <c r="E32" s="638">
        <v>13</v>
      </c>
      <c r="F32" s="468" t="s">
        <v>0</v>
      </c>
      <c r="G32" s="420"/>
      <c r="H32" s="469">
        <v>390</v>
      </c>
      <c r="I32" s="465">
        <v>26</v>
      </c>
      <c r="J32" s="423"/>
      <c r="K32" s="611">
        <f>H32-A32</f>
        <v>18</v>
      </c>
      <c r="L32" s="612">
        <f>SUM(K32/A32*100)</f>
        <v>4.838709677419355</v>
      </c>
      <c r="M32" s="659">
        <f>SUM(A32+P32-S32-U32-X32)</f>
        <v>390</v>
      </c>
      <c r="N32" s="649">
        <f>SUM(H32-M32)</f>
        <v>0</v>
      </c>
      <c r="O32" s="426"/>
      <c r="P32" s="475">
        <v>32</v>
      </c>
      <c r="Q32" s="475">
        <v>2</v>
      </c>
      <c r="R32" s="476"/>
      <c r="S32" s="477">
        <v>7</v>
      </c>
      <c r="T32" s="617" t="s">
        <v>97</v>
      </c>
      <c r="U32" s="478">
        <v>5</v>
      </c>
      <c r="V32" s="617" t="s">
        <v>97</v>
      </c>
      <c r="W32" s="479"/>
      <c r="X32" s="480">
        <v>2</v>
      </c>
      <c r="Y32" s="426"/>
      <c r="Z32" s="481">
        <v>72</v>
      </c>
      <c r="AA32" s="465">
        <v>15</v>
      </c>
      <c r="AB32" s="423"/>
      <c r="AC32" s="482">
        <v>51</v>
      </c>
      <c r="AD32" s="475">
        <v>9</v>
      </c>
      <c r="AE32" s="483">
        <v>70</v>
      </c>
      <c r="AF32" s="45"/>
    </row>
    <row r="33" spans="1:32" ht="21.75" customHeight="1" x14ac:dyDescent="0.2">
      <c r="A33" s="689">
        <v>396</v>
      </c>
      <c r="B33" s="627">
        <v>16</v>
      </c>
      <c r="C33" s="21"/>
      <c r="D33" s="99" t="s">
        <v>39</v>
      </c>
      <c r="E33" s="639">
        <v>15</v>
      </c>
      <c r="F33" s="142" t="s">
        <v>0</v>
      </c>
      <c r="G33" s="22"/>
      <c r="H33" s="50">
        <v>383</v>
      </c>
      <c r="I33" s="62">
        <v>15</v>
      </c>
      <c r="J33" s="45"/>
      <c r="K33" s="78">
        <f>H33-A33</f>
        <v>-13</v>
      </c>
      <c r="L33" s="79">
        <f>SUM(K33/A33*100)</f>
        <v>-3.2828282828282833</v>
      </c>
      <c r="M33" s="660">
        <f>SUM(A33+P33-S33-U33-X33)</f>
        <v>383</v>
      </c>
      <c r="N33" s="651">
        <f>SUM(H33-M33)</f>
        <v>0</v>
      </c>
      <c r="O33" s="28"/>
      <c r="P33" s="7">
        <v>9</v>
      </c>
      <c r="Q33" s="7">
        <v>0</v>
      </c>
      <c r="R33" s="125"/>
      <c r="S33" s="42">
        <v>9</v>
      </c>
      <c r="T33" s="154" t="s">
        <v>97</v>
      </c>
      <c r="U33" s="43">
        <v>8</v>
      </c>
      <c r="V33" s="154" t="s">
        <v>97</v>
      </c>
      <c r="W33" s="132"/>
      <c r="X33" s="41">
        <v>5</v>
      </c>
      <c r="Y33" s="28"/>
      <c r="Z33" s="484">
        <v>72</v>
      </c>
      <c r="AA33" s="62">
        <v>16</v>
      </c>
      <c r="AB33" s="45"/>
      <c r="AC33" s="109">
        <v>66</v>
      </c>
      <c r="AD33" s="7">
        <v>8</v>
      </c>
      <c r="AE33" s="446">
        <v>72</v>
      </c>
      <c r="AF33" s="45"/>
    </row>
    <row r="34" spans="1:32" ht="21.75" customHeight="1" x14ac:dyDescent="0.2">
      <c r="A34" s="689">
        <v>99</v>
      </c>
      <c r="B34" s="627">
        <v>9</v>
      </c>
      <c r="C34" s="21"/>
      <c r="D34" s="99" t="s">
        <v>40</v>
      </c>
      <c r="E34" s="639">
        <v>6</v>
      </c>
      <c r="F34" s="142" t="s">
        <v>0</v>
      </c>
      <c r="G34" s="22"/>
      <c r="H34" s="50">
        <v>96</v>
      </c>
      <c r="I34" s="62">
        <v>8</v>
      </c>
      <c r="J34" s="45"/>
      <c r="K34" s="78">
        <f>H34-A34</f>
        <v>-3</v>
      </c>
      <c r="L34" s="79">
        <f>SUM(K34/A34*100)</f>
        <v>-3.0303030303030303</v>
      </c>
      <c r="M34" s="660">
        <f>SUM(A34+P34-S34-U34-X34)</f>
        <v>96</v>
      </c>
      <c r="N34" s="651">
        <f>SUM(H34-M34)</f>
        <v>0</v>
      </c>
      <c r="O34" s="28"/>
      <c r="P34" s="7">
        <v>2</v>
      </c>
      <c r="Q34" s="7">
        <v>0</v>
      </c>
      <c r="R34" s="125"/>
      <c r="S34" s="42">
        <v>4</v>
      </c>
      <c r="T34" s="154" t="s">
        <v>97</v>
      </c>
      <c r="U34" s="43">
        <v>1</v>
      </c>
      <c r="V34" s="154" t="s">
        <v>97</v>
      </c>
      <c r="W34" s="132"/>
      <c r="X34" s="41">
        <v>0</v>
      </c>
      <c r="Y34" s="28"/>
      <c r="Z34" s="484">
        <v>75</v>
      </c>
      <c r="AA34" s="62">
        <v>16</v>
      </c>
      <c r="AB34" s="45"/>
      <c r="AC34" s="152">
        <v>62</v>
      </c>
      <c r="AD34" s="7">
        <v>10</v>
      </c>
      <c r="AE34" s="446">
        <v>72</v>
      </c>
      <c r="AF34" s="45"/>
    </row>
    <row r="35" spans="1:32" ht="21.75" customHeight="1" x14ac:dyDescent="0.2">
      <c r="A35" s="689">
        <v>11</v>
      </c>
      <c r="B35" s="627">
        <v>0</v>
      </c>
      <c r="C35" s="21"/>
      <c r="D35" s="99" t="s">
        <v>63</v>
      </c>
      <c r="E35" s="639">
        <v>1</v>
      </c>
      <c r="F35" s="142" t="s">
        <v>0</v>
      </c>
      <c r="G35" s="22"/>
      <c r="H35" s="50">
        <v>9</v>
      </c>
      <c r="I35" s="62">
        <v>0</v>
      </c>
      <c r="J35" s="45"/>
      <c r="K35" s="78">
        <f>H35-A35</f>
        <v>-2</v>
      </c>
      <c r="L35" s="79">
        <f>SUM(K35/A35*100)</f>
        <v>-18.181818181818183</v>
      </c>
      <c r="M35" s="660">
        <f>SUM(A35+P35-S35-U35-X35)</f>
        <v>9</v>
      </c>
      <c r="N35" s="651">
        <v>0</v>
      </c>
      <c r="O35" s="28"/>
      <c r="P35" s="7">
        <v>0</v>
      </c>
      <c r="Q35" s="7">
        <v>0</v>
      </c>
      <c r="R35" s="125"/>
      <c r="S35" s="42">
        <v>0</v>
      </c>
      <c r="T35" s="154" t="s">
        <v>97</v>
      </c>
      <c r="U35" s="43">
        <v>2</v>
      </c>
      <c r="V35" s="154" t="s">
        <v>97</v>
      </c>
      <c r="W35" s="132"/>
      <c r="X35" s="41">
        <v>0</v>
      </c>
      <c r="Y35" s="28"/>
      <c r="Z35" s="71">
        <v>75</v>
      </c>
      <c r="AA35" s="62">
        <v>7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86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0</v>
      </c>
      <c r="G36" s="456"/>
      <c r="H36" s="490">
        <f>SUM(H32:H35)</f>
        <v>878</v>
      </c>
      <c r="I36" s="487">
        <f>SUM(I32:I35)</f>
        <v>49</v>
      </c>
      <c r="J36" s="457"/>
      <c r="K36" s="491">
        <f>SUM(K32:K35)</f>
        <v>0</v>
      </c>
      <c r="L36" s="492">
        <f>SUM(K36/A36*100)</f>
        <v>0</v>
      </c>
      <c r="M36" s="661">
        <f>SUM(M32:M35)</f>
        <v>878</v>
      </c>
      <c r="N36" s="662">
        <f>SUM(H36-M36)</f>
        <v>0</v>
      </c>
      <c r="O36" s="460"/>
      <c r="P36" s="495">
        <f>SUM(P32:P35)</f>
        <v>43</v>
      </c>
      <c r="Q36" s="495">
        <f>SUM(Q32:Q35)</f>
        <v>2</v>
      </c>
      <c r="R36" s="496"/>
      <c r="S36" s="495">
        <f>SUM(S32:S35)</f>
        <v>20</v>
      </c>
      <c r="T36" s="495">
        <f>SUM(T32:T35)</f>
        <v>0</v>
      </c>
      <c r="U36" s="495">
        <f>SUM(U32:U35)</f>
        <v>16</v>
      </c>
      <c r="V36" s="495">
        <f>SUM(V32:V35)</f>
        <v>0</v>
      </c>
      <c r="W36" s="496"/>
      <c r="X36" s="487">
        <f>SUM(X32:X35)</f>
        <v>7</v>
      </c>
      <c r="Y36" s="460"/>
      <c r="Z36" s="497">
        <f>SUM(Z32:Z35)/4</f>
        <v>73.5</v>
      </c>
      <c r="AA36" s="498">
        <f>SUM(AA32:AA35)/4</f>
        <v>13.5</v>
      </c>
      <c r="AB36" s="457"/>
      <c r="AC36" s="497">
        <f>SUM(AC32,AC33,AC34)/3</f>
        <v>59.666666666666664</v>
      </c>
      <c r="AD36" s="499">
        <f>SUM(AD32:AD35)/3</f>
        <v>9</v>
      </c>
      <c r="AE36" s="500">
        <f>SUM(AE32:AE35)/3</f>
        <v>71.333333333333329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658"/>
      <c r="N37" s="658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632">
        <v>95</v>
      </c>
      <c r="B38" s="633">
        <v>2</v>
      </c>
      <c r="C38" s="416"/>
      <c r="D38" s="417" t="s">
        <v>79</v>
      </c>
      <c r="E38" s="642">
        <v>3</v>
      </c>
      <c r="F38" s="419" t="s">
        <v>0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663">
        <f>SUM(A38+P38-S38-U38-X38)</f>
        <v>95</v>
      </c>
      <c r="N38" s="664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3</v>
      </c>
      <c r="AB38" s="423"/>
      <c r="AC38" s="435">
        <v>0</v>
      </c>
      <c r="AD38" s="436" t="s">
        <v>97</v>
      </c>
      <c r="AE38" s="437" t="s">
        <v>97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 t="s">
        <v>0</v>
      </c>
      <c r="G39" s="76"/>
      <c r="H39" s="74"/>
      <c r="I39" s="68"/>
      <c r="J39" s="68"/>
      <c r="K39" s="65"/>
      <c r="L39" s="66"/>
      <c r="M39" s="654"/>
      <c r="N39" s="654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629">
        <v>24</v>
      </c>
      <c r="B40" s="630">
        <v>0</v>
      </c>
      <c r="C40" s="21"/>
      <c r="D40" s="94" t="s">
        <v>80</v>
      </c>
      <c r="E40" s="641">
        <v>1</v>
      </c>
      <c r="F40" s="143" t="s">
        <v>0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655">
        <f>SUM(A40+P40-S40-U40-X40)</f>
        <v>25</v>
      </c>
      <c r="N40" s="656">
        <f>SUM(H40-M40)</f>
        <v>0</v>
      </c>
      <c r="O40" s="28"/>
      <c r="P40" s="54">
        <v>1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47</v>
      </c>
      <c r="AA40" s="72">
        <v>5</v>
      </c>
      <c r="AB40" s="45"/>
      <c r="AC40" s="110">
        <v>0</v>
      </c>
      <c r="AD40" s="155" t="s">
        <v>97</v>
      </c>
      <c r="AE40" s="441" t="s">
        <v>97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654"/>
      <c r="N41" s="654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634">
        <v>270</v>
      </c>
      <c r="B42" s="635">
        <v>13</v>
      </c>
      <c r="C42" s="21"/>
      <c r="D42" s="98" t="s">
        <v>41</v>
      </c>
      <c r="E42" s="643">
        <v>10</v>
      </c>
      <c r="F42" s="141" t="s">
        <v>0</v>
      </c>
      <c r="G42" s="22"/>
      <c r="H42" s="91">
        <v>277</v>
      </c>
      <c r="I42" s="61">
        <v>13</v>
      </c>
      <c r="J42" s="45"/>
      <c r="K42" s="538">
        <f>H42-A42</f>
        <v>7</v>
      </c>
      <c r="L42" s="539">
        <f>SUM(K42/A42*100)</f>
        <v>2.5925925925925926</v>
      </c>
      <c r="M42" s="665">
        <f>SUM(A42+P42-S42-U42-X42)</f>
        <v>277</v>
      </c>
      <c r="N42" s="666">
        <f>SUM(H42-M42)</f>
        <v>0</v>
      </c>
      <c r="O42" s="28"/>
      <c r="P42" s="80">
        <v>10</v>
      </c>
      <c r="Q42" s="81">
        <v>1</v>
      </c>
      <c r="R42" s="124"/>
      <c r="S42" s="92">
        <v>2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6</v>
      </c>
      <c r="AB42" s="45"/>
      <c r="AC42" s="108">
        <v>46</v>
      </c>
      <c r="AD42" s="156">
        <v>8</v>
      </c>
      <c r="AE42" s="444">
        <v>54</v>
      </c>
      <c r="AF42" s="45"/>
    </row>
    <row r="43" spans="1:32" ht="21.75" customHeight="1" x14ac:dyDescent="0.2">
      <c r="A43" s="631">
        <v>114</v>
      </c>
      <c r="B43" s="627">
        <v>5</v>
      </c>
      <c r="C43" s="21"/>
      <c r="D43" s="99" t="s">
        <v>42</v>
      </c>
      <c r="E43" s="639">
        <v>5</v>
      </c>
      <c r="F43" s="142" t="s">
        <v>0</v>
      </c>
      <c r="G43" s="22"/>
      <c r="H43" s="50">
        <v>112</v>
      </c>
      <c r="I43" s="62">
        <v>5</v>
      </c>
      <c r="J43" s="45"/>
      <c r="K43" s="78">
        <f>H43-A43</f>
        <v>-2</v>
      </c>
      <c r="L43" s="79">
        <f>SUM(K43/A43*100)</f>
        <v>-1.7543859649122806</v>
      </c>
      <c r="M43" s="660">
        <f>SUM(A43+P43-S43-U43-X43)</f>
        <v>114</v>
      </c>
      <c r="N43" s="651">
        <f>SUM(H43-M43)</f>
        <v>-2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4</v>
      </c>
      <c r="AB43" s="45"/>
      <c r="AC43" s="152">
        <v>37</v>
      </c>
      <c r="AD43" s="7">
        <v>4</v>
      </c>
      <c r="AE43" s="446">
        <v>34</v>
      </c>
      <c r="AF43" s="45"/>
    </row>
    <row r="44" spans="1:32" s="305" customFormat="1" ht="21.75" customHeight="1" x14ac:dyDescent="0.2">
      <c r="A44" s="63">
        <f>SUM(A42:A43)</f>
        <v>384</v>
      </c>
      <c r="B44" s="64">
        <f>SUM(B42:B43)</f>
        <v>18</v>
      </c>
      <c r="C44" s="288"/>
      <c r="D44" s="289" t="s">
        <v>44</v>
      </c>
      <c r="E44" s="86">
        <f>SUM(E42:E43)</f>
        <v>15</v>
      </c>
      <c r="F44" s="290">
        <f>SUM(F42:F43)</f>
        <v>0</v>
      </c>
      <c r="G44" s="291"/>
      <c r="H44" s="286">
        <f>SUM(H42:H43)</f>
        <v>389</v>
      </c>
      <c r="I44" s="287">
        <f>SUM(I42:I43)</f>
        <v>18</v>
      </c>
      <c r="J44" s="292"/>
      <c r="K44" s="293">
        <f>H44-A44</f>
        <v>5</v>
      </c>
      <c r="L44" s="294">
        <f>SUM(K44/A44*100)</f>
        <v>1.3020833333333335</v>
      </c>
      <c r="M44" s="667">
        <f>SUM(A44+P44-S44-U44-X44)</f>
        <v>391</v>
      </c>
      <c r="N44" s="653">
        <f>SUM(H44-M44)</f>
        <v>-2</v>
      </c>
      <c r="O44" s="295"/>
      <c r="P44" s="296">
        <f>SUM(P42:P43)</f>
        <v>13</v>
      </c>
      <c r="Q44" s="297">
        <f>SUM(Q42:Q43)</f>
        <v>1</v>
      </c>
      <c r="R44" s="298"/>
      <c r="S44" s="299">
        <f>SUM(S42:S43)</f>
        <v>4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5</v>
      </c>
      <c r="AB44" s="292"/>
      <c r="AC44" s="296">
        <f>SUM(AC43,AC42)/2</f>
        <v>41.5</v>
      </c>
      <c r="AD44" s="303">
        <f>SUM(AD43,AD42)/2</f>
        <v>6</v>
      </c>
      <c r="AE44" s="448">
        <f>SUM(AE43,AE42)/2</f>
        <v>44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654"/>
      <c r="N45" s="654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629">
        <v>162</v>
      </c>
      <c r="B46" s="630">
        <v>34</v>
      </c>
      <c r="C46" s="308"/>
      <c r="D46" s="323" t="s">
        <v>70</v>
      </c>
      <c r="E46" s="641">
        <v>6</v>
      </c>
      <c r="F46" s="143" t="s">
        <v>0</v>
      </c>
      <c r="G46" s="22"/>
      <c r="H46" s="306">
        <v>163</v>
      </c>
      <c r="I46" s="307">
        <v>34</v>
      </c>
      <c r="J46" s="309"/>
      <c r="K46" s="95">
        <f>H46-A46</f>
        <v>1</v>
      </c>
      <c r="L46" s="96">
        <f>SUM(K46/A46*100)</f>
        <v>0.61728395061728392</v>
      </c>
      <c r="M46" s="655">
        <f>SUM(A46+P46-S46-U46-X46)</f>
        <v>160</v>
      </c>
      <c r="N46" s="656">
        <f>SUM(H46-M46)</f>
        <v>3</v>
      </c>
      <c r="O46" s="310"/>
      <c r="P46" s="311">
        <v>7</v>
      </c>
      <c r="Q46" s="312">
        <v>1</v>
      </c>
      <c r="R46" s="313"/>
      <c r="S46" s="314">
        <v>5</v>
      </c>
      <c r="T46" s="319" t="s">
        <v>97</v>
      </c>
      <c r="U46" s="315">
        <v>4</v>
      </c>
      <c r="V46" s="319" t="s">
        <v>97</v>
      </c>
      <c r="W46" s="316"/>
      <c r="X46" s="143">
        <v>0</v>
      </c>
      <c r="Y46" s="310"/>
      <c r="Z46" s="317">
        <v>65</v>
      </c>
      <c r="AA46" s="307">
        <v>15</v>
      </c>
      <c r="AB46" s="309"/>
      <c r="AC46" s="318">
        <v>36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654"/>
      <c r="N47" s="654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629">
        <v>114</v>
      </c>
      <c r="B48" s="630">
        <v>1</v>
      </c>
      <c r="C48" s="308"/>
      <c r="D48" s="94" t="s">
        <v>68</v>
      </c>
      <c r="E48" s="641">
        <v>4</v>
      </c>
      <c r="F48" s="143" t="s">
        <v>0</v>
      </c>
      <c r="G48" s="22"/>
      <c r="H48" s="306">
        <v>114</v>
      </c>
      <c r="I48" s="307">
        <v>1</v>
      </c>
      <c r="J48" s="309"/>
      <c r="K48" s="397">
        <f>H48-A48</f>
        <v>0</v>
      </c>
      <c r="L48" s="398">
        <f>SUM(K48/A48*100)</f>
        <v>0</v>
      </c>
      <c r="M48" s="655">
        <f>SUM(A48+P48-S48-U48-X48)</f>
        <v>114</v>
      </c>
      <c r="N48" s="656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44</v>
      </c>
      <c r="AD48" s="312">
        <v>33</v>
      </c>
      <c r="AE48" s="451">
        <v>78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654"/>
      <c r="N49" s="654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0</v>
      </c>
      <c r="G50" s="456"/>
      <c r="H50" s="453">
        <f>SUM(H38,H40,H44,H46,H48)</f>
        <v>786</v>
      </c>
      <c r="I50" s="453">
        <f>SUM(I38,I40,I44,I46,I48)</f>
        <v>55</v>
      </c>
      <c r="J50" s="457"/>
      <c r="K50" s="532">
        <f>SUM(K38,K40,K44,K46,K48)</f>
        <v>7</v>
      </c>
      <c r="L50" s="532">
        <f>SUM(L38,L40,L44,L46,L48)</f>
        <v>6.086033950617284</v>
      </c>
      <c r="M50" s="668">
        <f>SUM(M38,M40,M44,M46,M48)</f>
        <v>785</v>
      </c>
      <c r="N50" s="668">
        <f>SUM(N38,N40,N44,N46,N48)</f>
        <v>1</v>
      </c>
      <c r="O50" s="460"/>
      <c r="P50" s="463">
        <f>SUM(P38,P40,P44,P46,P48)</f>
        <v>23</v>
      </c>
      <c r="Q50" s="463">
        <f>SUM(Q38,Q40,Q44,Q46,Q48)</f>
        <v>2</v>
      </c>
      <c r="R50" s="461"/>
      <c r="S50" s="463">
        <f>SUM(S38,S40,S44,S46,S48)</f>
        <v>10</v>
      </c>
      <c r="T50" s="463">
        <f t="shared" ref="T50:V50" si="4">SUM(T38,T40,T44,T46,T48)</f>
        <v>0</v>
      </c>
      <c r="U50" s="463">
        <f t="shared" si="4"/>
        <v>7</v>
      </c>
      <c r="V50" s="463">
        <f t="shared" si="4"/>
        <v>0</v>
      </c>
      <c r="W50" s="462"/>
      <c r="X50" s="453">
        <f>SUM(X38,X40,X44,X46,X48)</f>
        <v>0</v>
      </c>
      <c r="Y50" s="460"/>
      <c r="Z50" s="463">
        <f>SUM(Z48,Z46,Z44,Z40,Z38)/5</f>
        <v>56.5</v>
      </c>
      <c r="AA50" s="528">
        <f>SUM(AA38,AA40,AA42,AA43,AA46,AA48)/6</f>
        <v>8</v>
      </c>
      <c r="AB50" s="457"/>
      <c r="AC50" s="463">
        <f>SUM(AC48:AC49,AC46,AC43,AC42,AC40,AC38)/6</f>
        <v>27.166666666666668</v>
      </c>
      <c r="AD50" s="530">
        <f>SUM(AD42,AD43,AD46,AD48)/4</f>
        <v>13</v>
      </c>
      <c r="AE50" s="529">
        <f>SUM(AE48,AE46,AE43,AE42)/4</f>
        <v>52.25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658"/>
      <c r="N51" s="658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636">
        <f>SUM(A50,A36,A30)</f>
        <v>8278</v>
      </c>
      <c r="B52" s="637">
        <f>SUM(B50,B36,B30)</f>
        <v>702</v>
      </c>
      <c r="C52" s="115"/>
      <c r="D52" s="117" t="s">
        <v>94</v>
      </c>
      <c r="E52" s="644">
        <f>SUM(E50,E36,E30)</f>
        <v>332</v>
      </c>
      <c r="F52" s="158">
        <f>SUM(F50,F36,F30)</f>
        <v>0</v>
      </c>
      <c r="G52" s="116"/>
      <c r="H52" s="157">
        <f>SUM(H50,H36,H30)</f>
        <v>8070</v>
      </c>
      <c r="I52" s="250">
        <f>SUM(I50,I36,I30)</f>
        <v>683</v>
      </c>
      <c r="J52" s="114"/>
      <c r="K52" s="384">
        <f>SUM(K50,K36,K30)</f>
        <v>-208</v>
      </c>
      <c r="L52" s="531">
        <f>SUM(K52/A52*100)</f>
        <v>-2.5126842232423292</v>
      </c>
      <c r="M52" s="669">
        <f>SUM(M50,M36,M30)</f>
        <v>8066</v>
      </c>
      <c r="N52" s="656">
        <f>SUM(N50,N36,N30)</f>
        <v>4</v>
      </c>
      <c r="O52" s="112"/>
      <c r="P52" s="157">
        <f>SUM(P50,P36,P30)</f>
        <v>119</v>
      </c>
      <c r="Q52" s="159">
        <f>SUM(Q50,Q36,Q30)</f>
        <v>36</v>
      </c>
      <c r="R52" s="526"/>
      <c r="S52" s="159">
        <f>SUM(S50,S36,S30)</f>
        <v>135</v>
      </c>
      <c r="T52" s="159">
        <f>SUM(T50,T36,T30)</f>
        <v>0</v>
      </c>
      <c r="U52" s="159">
        <f>SUM(U50,U36,U30)</f>
        <v>170</v>
      </c>
      <c r="V52" s="159">
        <f>SUM(V50,V36,V30)</f>
        <v>0</v>
      </c>
      <c r="W52" s="526"/>
      <c r="X52" s="158">
        <f>SUM(X50,X36,X30)</f>
        <v>26</v>
      </c>
      <c r="Y52" s="112"/>
      <c r="Z52" s="248">
        <f>SUM(Z50,Z36,Z30)/3</f>
        <v>67.523809523809518</v>
      </c>
      <c r="AA52" s="250">
        <f>SUM(AA50,AA36,AA30)/3</f>
        <v>14.976190476190476</v>
      </c>
      <c r="AB52" s="527">
        <f>SUM(AB50,AB36,AB30)/3</f>
        <v>0</v>
      </c>
      <c r="AC52" s="248">
        <f>SUM(AC50,AC36,AC30)/3</f>
        <v>48.631944444444436</v>
      </c>
      <c r="AD52" s="249">
        <f>SUM(AD30,AD36,AD50)/3</f>
        <v>13.633333333333333</v>
      </c>
      <c r="AE52" s="250">
        <f>SUM(AE50,AE36,AE30)/3</f>
        <v>64.344444444444449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16" t="s">
        <v>0</v>
      </c>
      <c r="AD53" s="616"/>
      <c r="AE53" s="616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7" t="s">
        <v>33</v>
      </c>
      <c r="L54" s="697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7673-81E1-4F56-87BD-12D6FAEB20CB}">
  <dimension ref="A1:AI55"/>
  <sheetViews>
    <sheetView workbookViewId="0">
      <pane xSplit="4" ySplit="5" topLeftCell="O39" activePane="bottomRight" state="frozen"/>
      <selection pane="topRight" activeCell="E1" sqref="E1"/>
      <selection pane="bottomLeft" activeCell="A6" sqref="A6"/>
      <selection pane="bottomRight" activeCell="P15" sqref="P1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8"/>
      <c r="Z2" s="698"/>
      <c r="AA2" s="698"/>
      <c r="AB2" s="698"/>
      <c r="AC2" s="698"/>
      <c r="AD2" s="698"/>
      <c r="AE2" s="698"/>
      <c r="AF2" s="698"/>
    </row>
    <row r="3" spans="1:34" s="6" customFormat="1" ht="30" customHeight="1" x14ac:dyDescent="0.2">
      <c r="A3" s="322" t="s">
        <v>93</v>
      </c>
      <c r="B3" s="137"/>
      <c r="C3" s="30"/>
      <c r="D3" s="699" t="s">
        <v>61</v>
      </c>
      <c r="E3" s="715" t="s">
        <v>62</v>
      </c>
      <c r="F3" s="716"/>
      <c r="G3" s="31"/>
      <c r="H3" s="717" t="s">
        <v>95</v>
      </c>
      <c r="I3" s="718"/>
      <c r="J3" s="30"/>
      <c r="K3" s="705" t="s">
        <v>36</v>
      </c>
      <c r="L3" s="706"/>
      <c r="M3" s="366" t="s">
        <v>71</v>
      </c>
      <c r="N3" s="719" t="s">
        <v>73</v>
      </c>
      <c r="O3" s="32"/>
      <c r="P3" s="709" t="s">
        <v>69</v>
      </c>
      <c r="Q3" s="710"/>
      <c r="R3" s="710"/>
      <c r="S3" s="710"/>
      <c r="T3" s="710"/>
      <c r="U3" s="710"/>
      <c r="V3" s="710"/>
      <c r="W3" s="710"/>
      <c r="X3" s="711"/>
      <c r="Y3" s="32"/>
      <c r="Z3" s="712" t="s">
        <v>60</v>
      </c>
      <c r="AA3" s="713"/>
      <c r="AB3" s="714"/>
      <c r="AC3" s="714"/>
      <c r="AD3" s="714"/>
      <c r="AE3" s="714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700"/>
      <c r="E4" s="377" t="s">
        <v>91</v>
      </c>
      <c r="F4" s="377" t="s">
        <v>96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720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191</v>
      </c>
      <c r="I6" s="465">
        <v>32</v>
      </c>
      <c r="J6" s="423"/>
      <c r="K6" s="470">
        <f t="shared" ref="K6:K24" si="0">H6-A6</f>
        <v>-6</v>
      </c>
      <c r="L6" s="471">
        <f t="shared" ref="L6:L24" si="1">SUM(K6/A6*100)</f>
        <v>-3.0456852791878175</v>
      </c>
      <c r="M6" s="503">
        <f t="shared" ref="M6:M24" si="2">SUM(A6+P6-S6-U6-X6)</f>
        <v>191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617" t="s">
        <v>97</v>
      </c>
      <c r="U6" s="505">
        <v>6</v>
      </c>
      <c r="V6" s="617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69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405</v>
      </c>
      <c r="I7" s="62">
        <v>42</v>
      </c>
      <c r="J7" s="45"/>
      <c r="K7" s="78">
        <f t="shared" si="0"/>
        <v>-11</v>
      </c>
      <c r="L7" s="79">
        <f t="shared" si="1"/>
        <v>-2.6442307692307692</v>
      </c>
      <c r="M7" s="380">
        <f t="shared" si="2"/>
        <v>408</v>
      </c>
      <c r="N7" s="371">
        <f t="shared" si="3"/>
        <v>-3</v>
      </c>
      <c r="O7" s="28"/>
      <c r="P7" s="7">
        <v>2</v>
      </c>
      <c r="Q7" s="7">
        <v>8</v>
      </c>
      <c r="R7" s="125"/>
      <c r="S7" s="42">
        <v>3</v>
      </c>
      <c r="T7" s="154" t="s">
        <v>97</v>
      </c>
      <c r="U7" s="43">
        <v>7</v>
      </c>
      <c r="V7" s="154" t="s">
        <v>97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66</v>
      </c>
      <c r="AD7" s="51">
        <v>16</v>
      </c>
      <c r="AE7" s="510">
        <v>70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9</v>
      </c>
      <c r="G8" s="22"/>
      <c r="H8" s="44">
        <v>239</v>
      </c>
      <c r="I8" s="62">
        <v>15</v>
      </c>
      <c r="J8" s="45"/>
      <c r="K8" s="78">
        <f t="shared" si="0"/>
        <v>-8</v>
      </c>
      <c r="L8" s="79">
        <f t="shared" si="1"/>
        <v>-3.2388663967611335</v>
      </c>
      <c r="M8" s="380">
        <f t="shared" si="2"/>
        <v>239</v>
      </c>
      <c r="N8" s="371">
        <f t="shared" si="3"/>
        <v>0</v>
      </c>
      <c r="O8" s="28"/>
      <c r="P8" s="7">
        <v>1</v>
      </c>
      <c r="Q8" s="7">
        <v>2</v>
      </c>
      <c r="R8" s="125"/>
      <c r="S8" s="39">
        <v>8</v>
      </c>
      <c r="T8" s="154" t="s">
        <v>97</v>
      </c>
      <c r="U8" s="43">
        <v>1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22</v>
      </c>
      <c r="AE8" s="510">
        <v>70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143</v>
      </c>
      <c r="I9" s="62">
        <v>27</v>
      </c>
      <c r="J9" s="45"/>
      <c r="K9" s="78">
        <f t="shared" si="0"/>
        <v>-4</v>
      </c>
      <c r="L9" s="79">
        <f t="shared" si="1"/>
        <v>-2.7210884353741496</v>
      </c>
      <c r="M9" s="380">
        <f t="shared" si="2"/>
        <v>143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2</v>
      </c>
      <c r="T9" s="154" t="s">
        <v>97</v>
      </c>
      <c r="U9" s="43">
        <v>2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5</v>
      </c>
      <c r="AE9" s="511">
        <v>76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14</v>
      </c>
      <c r="G10" s="22"/>
      <c r="H10" s="44">
        <v>301</v>
      </c>
      <c r="I10" s="62">
        <v>29</v>
      </c>
      <c r="J10" s="45"/>
      <c r="K10" s="78">
        <f t="shared" si="0"/>
        <v>-1</v>
      </c>
      <c r="L10" s="79">
        <f t="shared" si="1"/>
        <v>-0.33112582781456956</v>
      </c>
      <c r="M10" s="380">
        <f t="shared" si="2"/>
        <v>300</v>
      </c>
      <c r="N10" s="371">
        <f t="shared" si="3"/>
        <v>1</v>
      </c>
      <c r="O10" s="28"/>
      <c r="P10" s="7">
        <v>3</v>
      </c>
      <c r="Q10" s="7">
        <v>1</v>
      </c>
      <c r="R10" s="125"/>
      <c r="S10" s="42">
        <v>3</v>
      </c>
      <c r="T10" s="154" t="s">
        <v>97</v>
      </c>
      <c r="U10" s="43">
        <v>2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67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29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284</v>
      </c>
      <c r="N11" s="371">
        <f t="shared" si="3"/>
        <v>-2</v>
      </c>
      <c r="O11" s="28"/>
      <c r="P11" s="7">
        <v>7</v>
      </c>
      <c r="Q11" s="7">
        <v>0</v>
      </c>
      <c r="R11" s="125"/>
      <c r="S11" s="39">
        <v>2</v>
      </c>
      <c r="T11" s="154" t="s">
        <v>97</v>
      </c>
      <c r="U11" s="40">
        <v>3</v>
      </c>
      <c r="V11" s="154" t="s">
        <v>97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51</v>
      </c>
      <c r="AD11" s="7">
        <v>25</v>
      </c>
      <c r="AE11" s="446">
        <v>71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631</v>
      </c>
      <c r="I12" s="62">
        <v>48</v>
      </c>
      <c r="J12" s="45"/>
      <c r="K12" s="78">
        <f t="shared" si="0"/>
        <v>-16</v>
      </c>
      <c r="L12" s="79">
        <f t="shared" si="1"/>
        <v>-2.472952086553323</v>
      </c>
      <c r="M12" s="380">
        <f t="shared" si="2"/>
        <v>631</v>
      </c>
      <c r="N12" s="371">
        <f t="shared" si="3"/>
        <v>0</v>
      </c>
      <c r="O12" s="28"/>
      <c r="P12" s="7">
        <v>0</v>
      </c>
      <c r="Q12" s="7">
        <v>0</v>
      </c>
      <c r="R12" s="125"/>
      <c r="S12" s="42">
        <v>7</v>
      </c>
      <c r="T12" s="154" t="s">
        <v>97</v>
      </c>
      <c r="U12" s="43">
        <v>9</v>
      </c>
      <c r="V12" s="154" t="s">
        <v>97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17</v>
      </c>
      <c r="AE12" s="510">
        <v>64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286</v>
      </c>
      <c r="I13" s="62">
        <v>25</v>
      </c>
      <c r="J13" s="45"/>
      <c r="K13" s="78">
        <f t="shared" si="0"/>
        <v>-22</v>
      </c>
      <c r="L13" s="79">
        <f t="shared" si="1"/>
        <v>-7.1428571428571423</v>
      </c>
      <c r="M13" s="380">
        <f t="shared" si="2"/>
        <v>290</v>
      </c>
      <c r="N13" s="371">
        <f t="shared" si="3"/>
        <v>-4</v>
      </c>
      <c r="O13" s="28"/>
      <c r="P13" s="7">
        <v>0</v>
      </c>
      <c r="Q13" s="7">
        <v>0</v>
      </c>
      <c r="R13" s="125"/>
      <c r="S13" s="39">
        <v>14</v>
      </c>
      <c r="T13" s="154" t="s">
        <v>97</v>
      </c>
      <c r="U13" s="43">
        <v>4</v>
      </c>
      <c r="V13" s="154" t="s">
        <v>97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69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570</v>
      </c>
      <c r="I14" s="62">
        <v>53</v>
      </c>
      <c r="J14" s="45"/>
      <c r="K14" s="78">
        <f t="shared" si="0"/>
        <v>-17</v>
      </c>
      <c r="L14" s="79">
        <f t="shared" si="1"/>
        <v>-2.8960817717206133</v>
      </c>
      <c r="M14" s="380">
        <f t="shared" si="2"/>
        <v>574</v>
      </c>
      <c r="N14" s="371">
        <f t="shared" si="3"/>
        <v>-4</v>
      </c>
      <c r="O14" s="28"/>
      <c r="P14" s="7">
        <v>4</v>
      </c>
      <c r="Q14" s="7">
        <v>3</v>
      </c>
      <c r="R14" s="125"/>
      <c r="S14" s="42">
        <v>7</v>
      </c>
      <c r="T14" s="154" t="s">
        <v>97</v>
      </c>
      <c r="U14" s="43">
        <v>10</v>
      </c>
      <c r="V14" s="154" t="s">
        <v>97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45</v>
      </c>
      <c r="AD14" s="7">
        <v>14</v>
      </c>
      <c r="AE14" s="446">
        <v>63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301</v>
      </c>
      <c r="I15" s="62">
        <v>23</v>
      </c>
      <c r="J15" s="45"/>
      <c r="K15" s="78">
        <f t="shared" si="0"/>
        <v>-8</v>
      </c>
      <c r="L15" s="79">
        <f t="shared" si="1"/>
        <v>-2.5889967637540456</v>
      </c>
      <c r="M15" s="380">
        <f t="shared" si="2"/>
        <v>301</v>
      </c>
      <c r="N15" s="371">
        <f t="shared" si="3"/>
        <v>0</v>
      </c>
      <c r="O15" s="28"/>
      <c r="P15" s="7">
        <v>0</v>
      </c>
      <c r="Q15" s="7">
        <v>1</v>
      </c>
      <c r="R15" s="125"/>
      <c r="S15" s="39">
        <v>1</v>
      </c>
      <c r="T15" s="154" t="s">
        <v>97</v>
      </c>
      <c r="U15" s="43">
        <v>7</v>
      </c>
      <c r="V15" s="154" t="s">
        <v>97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461</v>
      </c>
      <c r="I16" s="62">
        <v>28</v>
      </c>
      <c r="J16" s="45"/>
      <c r="K16" s="395">
        <f t="shared" si="0"/>
        <v>0</v>
      </c>
      <c r="L16" s="396">
        <f t="shared" si="1"/>
        <v>0</v>
      </c>
      <c r="M16" s="380">
        <f t="shared" si="2"/>
        <v>454</v>
      </c>
      <c r="N16" s="371">
        <f t="shared" si="3"/>
        <v>7</v>
      </c>
      <c r="O16" s="28"/>
      <c r="P16" s="7">
        <v>0</v>
      </c>
      <c r="Q16" s="7">
        <v>3</v>
      </c>
      <c r="R16" s="125"/>
      <c r="S16" s="39">
        <v>3</v>
      </c>
      <c r="T16" s="154" t="s">
        <v>97</v>
      </c>
      <c r="U16" s="40">
        <v>4</v>
      </c>
      <c r="V16" s="154" t="s">
        <v>97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17</v>
      </c>
      <c r="AE16" s="510">
        <v>69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365</v>
      </c>
      <c r="I17" s="62">
        <v>41</v>
      </c>
      <c r="J17" s="45"/>
      <c r="K17" s="78">
        <f t="shared" si="0"/>
        <v>-7</v>
      </c>
      <c r="L17" s="79">
        <f t="shared" si="1"/>
        <v>-1.881720430107527</v>
      </c>
      <c r="M17" s="380">
        <f t="shared" si="2"/>
        <v>364</v>
      </c>
      <c r="N17" s="371">
        <f t="shared" si="3"/>
        <v>1</v>
      </c>
      <c r="O17" s="28"/>
      <c r="P17" s="7">
        <v>1</v>
      </c>
      <c r="Q17" s="7">
        <v>1</v>
      </c>
      <c r="R17" s="125"/>
      <c r="S17" s="39">
        <v>7</v>
      </c>
      <c r="T17" s="154" t="s">
        <v>97</v>
      </c>
      <c r="U17" s="43">
        <v>2</v>
      </c>
      <c r="V17" s="154" t="s">
        <v>97</v>
      </c>
      <c r="W17" s="125"/>
      <c r="X17" s="41">
        <v>0</v>
      </c>
      <c r="Y17" s="28"/>
      <c r="Z17" s="484">
        <v>73</v>
      </c>
      <c r="AA17" s="62">
        <v>22</v>
      </c>
      <c r="AB17" s="45"/>
      <c r="AC17" s="109">
        <v>74</v>
      </c>
      <c r="AD17" s="7">
        <v>14</v>
      </c>
      <c r="AE17" s="446">
        <v>65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163</v>
      </c>
      <c r="I18" s="62">
        <v>15</v>
      </c>
      <c r="J18" s="45"/>
      <c r="K18" s="78">
        <f t="shared" si="0"/>
        <v>-5</v>
      </c>
      <c r="L18" s="79">
        <f t="shared" si="1"/>
        <v>-2.9761904761904758</v>
      </c>
      <c r="M18" s="380">
        <f t="shared" si="2"/>
        <v>163</v>
      </c>
      <c r="N18" s="371">
        <f t="shared" si="3"/>
        <v>0</v>
      </c>
      <c r="O18" s="28"/>
      <c r="P18" s="7">
        <v>2</v>
      </c>
      <c r="Q18" s="7">
        <v>0</v>
      </c>
      <c r="R18" s="125"/>
      <c r="S18" s="42">
        <v>4</v>
      </c>
      <c r="T18" s="154" t="s">
        <v>97</v>
      </c>
      <c r="U18" s="43">
        <v>3</v>
      </c>
      <c r="V18" s="154" t="s">
        <v>97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64</v>
      </c>
      <c r="AD18" s="7">
        <v>22</v>
      </c>
      <c r="AE18" s="446">
        <v>64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375</v>
      </c>
      <c r="I19" s="62">
        <v>24</v>
      </c>
      <c r="J19" s="45"/>
      <c r="K19" s="78">
        <f t="shared" si="0"/>
        <v>-12</v>
      </c>
      <c r="L19" s="79">
        <f t="shared" si="1"/>
        <v>-3.1007751937984498</v>
      </c>
      <c r="M19" s="380">
        <f t="shared" si="2"/>
        <v>375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4</v>
      </c>
      <c r="T19" s="154" t="s">
        <v>97</v>
      </c>
      <c r="U19" s="43">
        <v>8</v>
      </c>
      <c r="V19" s="154" t="s">
        <v>97</v>
      </c>
      <c r="W19" s="125"/>
      <c r="X19" s="41">
        <v>0</v>
      </c>
      <c r="Y19" s="28"/>
      <c r="Z19" s="484">
        <v>70</v>
      </c>
      <c r="AA19" s="62">
        <v>20</v>
      </c>
      <c r="AB19" s="45"/>
      <c r="AC19" s="152">
        <v>0</v>
      </c>
      <c r="AD19" s="7">
        <v>22</v>
      </c>
      <c r="AE19" s="446">
        <v>69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297</v>
      </c>
      <c r="I20" s="62">
        <v>9</v>
      </c>
      <c r="J20" s="45"/>
      <c r="K20" s="395">
        <f t="shared" si="0"/>
        <v>1</v>
      </c>
      <c r="L20" s="396">
        <f t="shared" si="1"/>
        <v>0.33783783783783783</v>
      </c>
      <c r="M20" s="380">
        <f t="shared" si="2"/>
        <v>296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1</v>
      </c>
      <c r="T20" s="154" t="s">
        <v>97</v>
      </c>
      <c r="U20" s="43">
        <v>1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76</v>
      </c>
      <c r="AD20" s="7">
        <v>19</v>
      </c>
      <c r="AE20" s="446">
        <v>66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303</v>
      </c>
      <c r="I21" s="62">
        <v>26</v>
      </c>
      <c r="J21" s="45"/>
      <c r="K21" s="78">
        <f t="shared" si="0"/>
        <v>-5</v>
      </c>
      <c r="L21" s="79">
        <f t="shared" si="1"/>
        <v>-1.6233766233766231</v>
      </c>
      <c r="M21" s="380">
        <f t="shared" si="2"/>
        <v>302</v>
      </c>
      <c r="N21" s="371">
        <f t="shared" si="3"/>
        <v>1</v>
      </c>
      <c r="O21" s="28"/>
      <c r="P21" s="7">
        <v>1</v>
      </c>
      <c r="Q21" s="7">
        <v>4</v>
      </c>
      <c r="R21" s="125"/>
      <c r="S21" s="42">
        <v>2</v>
      </c>
      <c r="T21" s="154" t="s">
        <v>97</v>
      </c>
      <c r="U21" s="43">
        <v>4</v>
      </c>
      <c r="V21" s="154" t="s">
        <v>97</v>
      </c>
      <c r="W21" s="125"/>
      <c r="X21" s="41">
        <v>1</v>
      </c>
      <c r="Y21" s="28"/>
      <c r="Z21" s="484">
        <v>73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259</v>
      </c>
      <c r="I22" s="62">
        <v>28</v>
      </c>
      <c r="J22" s="45"/>
      <c r="K22" s="395">
        <f t="shared" si="0"/>
        <v>0</v>
      </c>
      <c r="L22" s="396">
        <f t="shared" si="1"/>
        <v>0</v>
      </c>
      <c r="M22" s="380">
        <f t="shared" si="2"/>
        <v>259</v>
      </c>
      <c r="N22" s="371">
        <f t="shared" si="3"/>
        <v>0</v>
      </c>
      <c r="O22" s="28"/>
      <c r="P22" s="7">
        <v>3</v>
      </c>
      <c r="Q22" s="7">
        <v>1</v>
      </c>
      <c r="R22" s="125"/>
      <c r="S22" s="42">
        <v>0</v>
      </c>
      <c r="T22" s="154" t="s">
        <v>97</v>
      </c>
      <c r="U22" s="43">
        <v>3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77</v>
      </c>
      <c r="AD22" s="154" t="s">
        <v>97</v>
      </c>
      <c r="AE22" s="485" t="s">
        <v>97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705</v>
      </c>
      <c r="I23" s="62">
        <v>56</v>
      </c>
      <c r="J23" s="45"/>
      <c r="K23" s="78">
        <f t="shared" si="0"/>
        <v>-17</v>
      </c>
      <c r="L23" s="79">
        <f t="shared" si="1"/>
        <v>-2.3545706371191137</v>
      </c>
      <c r="M23" s="380">
        <f t="shared" si="2"/>
        <v>703</v>
      </c>
      <c r="N23" s="371">
        <f t="shared" si="3"/>
        <v>2</v>
      </c>
      <c r="O23" s="28"/>
      <c r="P23" s="7">
        <v>7</v>
      </c>
      <c r="Q23" s="7">
        <v>1</v>
      </c>
      <c r="R23" s="125"/>
      <c r="S23" s="42">
        <v>7</v>
      </c>
      <c r="T23" s="154" t="s">
        <v>97</v>
      </c>
      <c r="U23" s="43">
        <v>17</v>
      </c>
      <c r="V23" s="154" t="s">
        <v>97</v>
      </c>
      <c r="W23" s="125"/>
      <c r="X23" s="41">
        <v>2</v>
      </c>
      <c r="Y23" s="28"/>
      <c r="Z23" s="484">
        <v>69</v>
      </c>
      <c r="AA23" s="62">
        <v>19</v>
      </c>
      <c r="AB23" s="45"/>
      <c r="AC23" s="109">
        <v>64</v>
      </c>
      <c r="AD23" s="7">
        <v>15</v>
      </c>
      <c r="AE23" s="446">
        <v>64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405">
        <f t="shared" si="2"/>
        <v>154</v>
      </c>
      <c r="N24" s="373">
        <f t="shared" si="3"/>
        <v>0</v>
      </c>
      <c r="O24" s="28"/>
      <c r="P24" s="407">
        <v>2</v>
      </c>
      <c r="Q24" s="407">
        <v>1</v>
      </c>
      <c r="R24" s="408"/>
      <c r="S24" s="409">
        <v>2</v>
      </c>
      <c r="T24" s="618" t="s">
        <v>97</v>
      </c>
      <c r="U24" s="410">
        <v>4</v>
      </c>
      <c r="V24" s="618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54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 t="s">
        <v>0</v>
      </c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155" t="s">
        <v>97</v>
      </c>
      <c r="AE26" s="441" t="s">
        <v>97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306">
        <v>47</v>
      </c>
      <c r="B28" s="307">
        <v>14</v>
      </c>
      <c r="C28" s="308"/>
      <c r="D28" s="94" t="s">
        <v>67</v>
      </c>
      <c r="E28" s="607">
        <v>3</v>
      </c>
      <c r="F28" s="607">
        <v>3</v>
      </c>
      <c r="G28" s="22"/>
      <c r="H28" s="306">
        <v>44</v>
      </c>
      <c r="I28" s="307">
        <v>12</v>
      </c>
      <c r="J28" s="309"/>
      <c r="K28" s="95">
        <f>H28-A28</f>
        <v>-3</v>
      </c>
      <c r="L28" s="96">
        <f>SUM(K28/A28*100)</f>
        <v>-6.3829787234042552</v>
      </c>
      <c r="M28" s="374">
        <f>SUM(A28+P28-S28-U28-X28)</f>
        <v>43</v>
      </c>
      <c r="N28" s="375">
        <f>SUM(H28-M28)</f>
        <v>1</v>
      </c>
      <c r="O28" s="310"/>
      <c r="P28" s="311">
        <v>0</v>
      </c>
      <c r="Q28" s="312">
        <v>0</v>
      </c>
      <c r="R28" s="313"/>
      <c r="S28" s="314">
        <v>1</v>
      </c>
      <c r="T28" s="319" t="s">
        <v>97</v>
      </c>
      <c r="U28" s="315">
        <v>1</v>
      </c>
      <c r="V28" s="319" t="s">
        <v>97</v>
      </c>
      <c r="W28" s="316"/>
      <c r="X28" s="143">
        <v>2</v>
      </c>
      <c r="Y28" s="310"/>
      <c r="Z28" s="317">
        <v>77</v>
      </c>
      <c r="AA28" s="307">
        <v>29</v>
      </c>
      <c r="AB28" s="309"/>
      <c r="AC28" s="318">
        <v>0</v>
      </c>
      <c r="AD28" s="319">
        <v>3</v>
      </c>
      <c r="AE28" s="450">
        <v>70</v>
      </c>
      <c r="AF28" s="309"/>
    </row>
    <row r="29" spans="1:35" s="11" customFormat="1" ht="6.75" customHeight="1" x14ac:dyDescent="0.2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93"/>
      <c r="N29" s="393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3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270</v>
      </c>
      <c r="G30" s="456"/>
      <c r="H30" s="517">
        <f>SUM(H28:H29,H26,H6:H24)</f>
        <v>6476</v>
      </c>
      <c r="I30" s="517">
        <f>SUM(I28:I29,I26,I6:I24)</f>
        <v>584</v>
      </c>
      <c r="J30" s="457"/>
      <c r="K30" s="517">
        <f>SUM(K28:K29,K26,K6:K24)</f>
        <v>-145</v>
      </c>
      <c r="L30" s="517">
        <f>SUM(L28:L29,L26,L6:L24)</f>
        <v>-47.595304289032427</v>
      </c>
      <c r="M30" s="517">
        <f>SUM(M28:M29,M26,M6:M24)</f>
        <v>6475</v>
      </c>
      <c r="N30" s="517">
        <f>SUM(N28:N29,N26,N6:N24)</f>
        <v>1</v>
      </c>
      <c r="O30" s="460"/>
      <c r="P30" s="517">
        <f>SUM(P28:P29,P26,P6:P24)</f>
        <v>36</v>
      </c>
      <c r="Q30" s="517">
        <f>SUM(Q28:Q29,Q26,Q6:Q24)</f>
        <v>27</v>
      </c>
      <c r="R30" s="461"/>
      <c r="S30" s="517">
        <f>SUM(S28:S29,S26,S6:S24)</f>
        <v>79</v>
      </c>
      <c r="T30" s="517">
        <f>SUM(T28:T29,T26,T6:T24)</f>
        <v>0</v>
      </c>
      <c r="U30" s="517">
        <f>SUM(U28:U29,U26,U6:U24)</f>
        <v>98</v>
      </c>
      <c r="V30" s="517">
        <f>SUM(V28:V29,V26,V6:V24)</f>
        <v>0</v>
      </c>
      <c r="W30" s="461"/>
      <c r="X30" s="517">
        <f>SUM(X28:X29,X26,X6:X24)</f>
        <v>5</v>
      </c>
      <c r="Y30" s="460"/>
      <c r="Z30" s="517">
        <v>71</v>
      </c>
      <c r="AA30" s="619">
        <f>SUM(AA28,AA26,AA6:AA24)/21</f>
        <v>23.333333333333332</v>
      </c>
      <c r="AB30" s="457"/>
      <c r="AC30" s="517">
        <v>61</v>
      </c>
      <c r="AD30" s="517">
        <v>18</v>
      </c>
      <c r="AE30" s="619">
        <f>SUM(AE28,AE24,AE23,AE6:AE21)/19</f>
        <v>66.473684210526315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362"/>
      <c r="N31" s="362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469">
        <v>372</v>
      </c>
      <c r="B32" s="465">
        <v>27</v>
      </c>
      <c r="C32" s="416"/>
      <c r="D32" s="466" t="s">
        <v>38</v>
      </c>
      <c r="E32" s="468">
        <v>13</v>
      </c>
      <c r="F32" s="468">
        <v>13</v>
      </c>
      <c r="G32" s="420"/>
      <c r="H32" s="469">
        <v>383</v>
      </c>
      <c r="I32" s="465">
        <v>26</v>
      </c>
      <c r="J32" s="423"/>
      <c r="K32" s="611">
        <f>H32-A32</f>
        <v>11</v>
      </c>
      <c r="L32" s="612">
        <f>SUM(K32/A32*100)</f>
        <v>2.956989247311828</v>
      </c>
      <c r="M32" s="472">
        <f>SUM(A32+P32-S32-U32-X32)</f>
        <v>383</v>
      </c>
      <c r="N32" s="473">
        <f>SUM(H32-M32)</f>
        <v>0</v>
      </c>
      <c r="O32" s="426"/>
      <c r="P32" s="474">
        <v>24</v>
      </c>
      <c r="Q32" s="475">
        <v>2</v>
      </c>
      <c r="R32" s="476"/>
      <c r="S32" s="477">
        <v>8</v>
      </c>
      <c r="T32" s="617" t="s">
        <v>97</v>
      </c>
      <c r="U32" s="478">
        <v>4</v>
      </c>
      <c r="V32" s="617" t="s">
        <v>97</v>
      </c>
      <c r="W32" s="479"/>
      <c r="X32" s="480">
        <v>1</v>
      </c>
      <c r="Y32" s="426"/>
      <c r="Z32" s="481">
        <v>73</v>
      </c>
      <c r="AA32" s="465">
        <v>15</v>
      </c>
      <c r="AB32" s="423"/>
      <c r="AC32" s="482">
        <v>51</v>
      </c>
      <c r="AD32" s="475">
        <v>9</v>
      </c>
      <c r="AE32" s="483">
        <v>71</v>
      </c>
      <c r="AF32" s="45"/>
    </row>
    <row r="33" spans="1:32" ht="21.75" customHeight="1" x14ac:dyDescent="0.2">
      <c r="A33" s="50">
        <v>396</v>
      </c>
      <c r="B33" s="62">
        <v>16</v>
      </c>
      <c r="C33" s="21"/>
      <c r="D33" s="99" t="s">
        <v>39</v>
      </c>
      <c r="E33" s="142">
        <v>15</v>
      </c>
      <c r="F33" s="142">
        <v>15</v>
      </c>
      <c r="G33" s="22"/>
      <c r="H33" s="50">
        <v>387</v>
      </c>
      <c r="I33" s="62">
        <v>15</v>
      </c>
      <c r="J33" s="45"/>
      <c r="K33" s="78">
        <f>H33-A33</f>
        <v>-9</v>
      </c>
      <c r="L33" s="79">
        <f>SUM(K33/A33*100)</f>
        <v>-2.2727272727272729</v>
      </c>
      <c r="M33" s="370">
        <f>SUM(A33+P33-S33-U33-X33)</f>
        <v>387</v>
      </c>
      <c r="N33" s="371">
        <f>SUM(H33-M33)</f>
        <v>0</v>
      </c>
      <c r="O33" s="28"/>
      <c r="P33" s="38">
        <v>8</v>
      </c>
      <c r="Q33" s="7">
        <v>0</v>
      </c>
      <c r="R33" s="125"/>
      <c r="S33" s="42">
        <v>6</v>
      </c>
      <c r="T33" s="154" t="s">
        <v>97</v>
      </c>
      <c r="U33" s="43">
        <v>6</v>
      </c>
      <c r="V33" s="154" t="s">
        <v>97</v>
      </c>
      <c r="W33" s="132"/>
      <c r="X33" s="41">
        <v>5</v>
      </c>
      <c r="Y33" s="28"/>
      <c r="Z33" s="484">
        <v>72</v>
      </c>
      <c r="AA33" s="62">
        <v>16</v>
      </c>
      <c r="AB33" s="45"/>
      <c r="AC33" s="109">
        <v>67</v>
      </c>
      <c r="AD33" s="7">
        <v>7</v>
      </c>
      <c r="AE33" s="446">
        <v>67</v>
      </c>
      <c r="AF33" s="45"/>
    </row>
    <row r="34" spans="1:32" ht="21.75" customHeight="1" x14ac:dyDescent="0.2">
      <c r="A34" s="50">
        <v>99</v>
      </c>
      <c r="B34" s="62">
        <v>9</v>
      </c>
      <c r="C34" s="21"/>
      <c r="D34" s="99" t="s">
        <v>40</v>
      </c>
      <c r="E34" s="142">
        <v>6</v>
      </c>
      <c r="F34" s="142">
        <v>6</v>
      </c>
      <c r="G34" s="22"/>
      <c r="H34" s="50">
        <v>97</v>
      </c>
      <c r="I34" s="62">
        <v>0</v>
      </c>
      <c r="J34" s="45"/>
      <c r="K34" s="78">
        <f>H34-A34</f>
        <v>-2</v>
      </c>
      <c r="L34" s="79">
        <f>SUM(K34/A34*100)</f>
        <v>-2.0202020202020203</v>
      </c>
      <c r="M34" s="370">
        <f>SUM(A34+P34-S34-U34-X34)</f>
        <v>96</v>
      </c>
      <c r="N34" s="371">
        <f>SUM(H34-M34)</f>
        <v>1</v>
      </c>
      <c r="O34" s="28"/>
      <c r="P34" s="38">
        <v>2</v>
      </c>
      <c r="Q34" s="7">
        <v>0</v>
      </c>
      <c r="R34" s="125"/>
      <c r="S34" s="42">
        <v>4</v>
      </c>
      <c r="T34" s="154" t="s">
        <v>97</v>
      </c>
      <c r="U34" s="43">
        <v>1</v>
      </c>
      <c r="V34" s="154" t="s">
        <v>97</v>
      </c>
      <c r="W34" s="132"/>
      <c r="X34" s="41">
        <v>0</v>
      </c>
      <c r="Y34" s="28"/>
      <c r="Z34" s="484">
        <v>75</v>
      </c>
      <c r="AA34" s="62">
        <v>17</v>
      </c>
      <c r="AB34" s="45"/>
      <c r="AC34" s="152">
        <v>62</v>
      </c>
      <c r="AD34" s="7">
        <v>10</v>
      </c>
      <c r="AE34" s="446">
        <v>72</v>
      </c>
      <c r="AF34" s="45"/>
    </row>
    <row r="35" spans="1:32" ht="21.75" customHeight="1" x14ac:dyDescent="0.2">
      <c r="A35" s="50">
        <v>11</v>
      </c>
      <c r="B35" s="62">
        <v>0</v>
      </c>
      <c r="C35" s="21"/>
      <c r="D35" s="99" t="s">
        <v>63</v>
      </c>
      <c r="E35" s="142">
        <v>1</v>
      </c>
      <c r="F35" s="142">
        <v>1</v>
      </c>
      <c r="G35" s="22"/>
      <c r="H35" s="50">
        <v>10</v>
      </c>
      <c r="I35" s="62">
        <v>8</v>
      </c>
      <c r="J35" s="45"/>
      <c r="K35" s="395">
        <f>H35-A35</f>
        <v>-1</v>
      </c>
      <c r="L35" s="396">
        <f>SUM(K35/A35*100)</f>
        <v>-9.0909090909090917</v>
      </c>
      <c r="M35" s="370">
        <f>SUM(A35+P35-S35-U35-X35)</f>
        <v>11</v>
      </c>
      <c r="N35" s="371">
        <v>0</v>
      </c>
      <c r="O35" s="28"/>
      <c r="P35" s="38">
        <v>0</v>
      </c>
      <c r="Q35" s="7">
        <v>0</v>
      </c>
      <c r="R35" s="125"/>
      <c r="S35" s="42">
        <v>0</v>
      </c>
      <c r="T35" s="154" t="s">
        <v>97</v>
      </c>
      <c r="U35" s="43">
        <v>0</v>
      </c>
      <c r="V35" s="154" t="s">
        <v>97</v>
      </c>
      <c r="W35" s="132"/>
      <c r="X35" s="41">
        <v>0</v>
      </c>
      <c r="Y35" s="28"/>
      <c r="Z35" s="71">
        <v>75</v>
      </c>
      <c r="AA35" s="62">
        <v>8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90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35</v>
      </c>
      <c r="G36" s="456"/>
      <c r="H36" s="490">
        <f>SUM(H32:H35)</f>
        <v>877</v>
      </c>
      <c r="I36" s="487">
        <f>SUM(I32:I35)</f>
        <v>49</v>
      </c>
      <c r="J36" s="457"/>
      <c r="K36" s="491">
        <f>H36-A36</f>
        <v>-1</v>
      </c>
      <c r="L36" s="492">
        <f>SUM(K36/A36*100)</f>
        <v>-0.11389521640091116</v>
      </c>
      <c r="M36" s="493">
        <f>SUM(M32:M35)</f>
        <v>877</v>
      </c>
      <c r="N36" s="494">
        <f>SUM(H36-M36)</f>
        <v>0</v>
      </c>
      <c r="O36" s="460"/>
      <c r="P36" s="490">
        <f>SUM(P32:P35)</f>
        <v>34</v>
      </c>
      <c r="Q36" s="490">
        <f>SUM(Q32:Q35)</f>
        <v>2</v>
      </c>
      <c r="R36" s="496"/>
      <c r="S36" s="495">
        <f>SUM(S32:S35)</f>
        <v>18</v>
      </c>
      <c r="T36" s="495">
        <f>SUM(T32:T35)</f>
        <v>0</v>
      </c>
      <c r="U36" s="495">
        <f>SUM(U32:U35)</f>
        <v>11</v>
      </c>
      <c r="V36" s="495">
        <f>SUM(V32:V35)</f>
        <v>0</v>
      </c>
      <c r="W36" s="496"/>
      <c r="X36" s="487">
        <f>SUM(X32:X35)</f>
        <v>6</v>
      </c>
      <c r="Y36" s="460"/>
      <c r="Z36" s="497">
        <v>73</v>
      </c>
      <c r="AA36" s="498">
        <f>SUM(AA32:AA35)/4</f>
        <v>14</v>
      </c>
      <c r="AB36" s="457"/>
      <c r="AC36" s="497">
        <v>56</v>
      </c>
      <c r="AD36" s="499">
        <f>SUM(AD32:AD35)/3</f>
        <v>8.6666666666666661</v>
      </c>
      <c r="AE36" s="500">
        <f>SUM(AE32:AE35)/3</f>
        <v>70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62"/>
      <c r="N37" s="362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421">
        <v>95</v>
      </c>
      <c r="B38" s="422">
        <v>2</v>
      </c>
      <c r="C38" s="416"/>
      <c r="D38" s="417" t="s">
        <v>79</v>
      </c>
      <c r="E38" s="419">
        <v>3</v>
      </c>
      <c r="F38" s="419">
        <v>3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424">
        <f>SUM(A38+P38-S38-U38-X38)</f>
        <v>95</v>
      </c>
      <c r="N38" s="425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3</v>
      </c>
      <c r="AB38" s="423"/>
      <c r="AC38" s="435">
        <v>0</v>
      </c>
      <c r="AD38" s="436" t="s">
        <v>97</v>
      </c>
      <c r="AE38" s="437" t="s">
        <v>97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53">
        <v>24</v>
      </c>
      <c r="B40" s="72">
        <v>0</v>
      </c>
      <c r="C40" s="21"/>
      <c r="D40" s="94" t="s">
        <v>80</v>
      </c>
      <c r="E40" s="143">
        <v>1</v>
      </c>
      <c r="F40" s="143">
        <v>1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374">
        <f>SUM(A40+P40-S40-U40-X40)</f>
        <v>25</v>
      </c>
      <c r="N40" s="375">
        <f>SUM(H40-M40)</f>
        <v>0</v>
      </c>
      <c r="O40" s="28"/>
      <c r="P40" s="54">
        <v>1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47</v>
      </c>
      <c r="AA40" s="72">
        <v>4</v>
      </c>
      <c r="AB40" s="45"/>
      <c r="AC40" s="110">
        <v>48</v>
      </c>
      <c r="AD40" s="155" t="s">
        <v>97</v>
      </c>
      <c r="AE40" s="441" t="s">
        <v>97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393"/>
      <c r="N41" s="393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91">
        <v>270</v>
      </c>
      <c r="B42" s="61">
        <v>13</v>
      </c>
      <c r="C42" s="21"/>
      <c r="D42" s="98" t="s">
        <v>41</v>
      </c>
      <c r="E42" s="141">
        <v>10</v>
      </c>
      <c r="F42" s="141">
        <v>10</v>
      </c>
      <c r="G42" s="22"/>
      <c r="H42" s="91">
        <v>273</v>
      </c>
      <c r="I42" s="61">
        <v>13</v>
      </c>
      <c r="J42" s="45"/>
      <c r="K42" s="538">
        <f>H42-A42</f>
        <v>3</v>
      </c>
      <c r="L42" s="539">
        <f>SUM(K42/A42*100)</f>
        <v>1.1111111111111112</v>
      </c>
      <c r="M42" s="368">
        <f>SUM(A42+P42-S42-U42-X42)</f>
        <v>273</v>
      </c>
      <c r="N42" s="369">
        <f>SUM(H42-M42)</f>
        <v>0</v>
      </c>
      <c r="O42" s="28"/>
      <c r="P42" s="80">
        <v>5</v>
      </c>
      <c r="Q42" s="81">
        <v>1</v>
      </c>
      <c r="R42" s="124"/>
      <c r="S42" s="92">
        <v>1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6</v>
      </c>
      <c r="AB42" s="45"/>
      <c r="AC42" s="108">
        <v>40</v>
      </c>
      <c r="AD42" s="156">
        <v>9</v>
      </c>
      <c r="AE42" s="444">
        <v>75</v>
      </c>
      <c r="AF42" s="45"/>
    </row>
    <row r="43" spans="1:32" ht="21.75" customHeight="1" x14ac:dyDescent="0.2">
      <c r="A43" s="50">
        <v>114</v>
      </c>
      <c r="B43" s="62">
        <v>5</v>
      </c>
      <c r="C43" s="21"/>
      <c r="D43" s="99" t="s">
        <v>42</v>
      </c>
      <c r="E43" s="142">
        <v>5</v>
      </c>
      <c r="F43" s="142">
        <v>5</v>
      </c>
      <c r="G43" s="22"/>
      <c r="H43" s="50">
        <v>114</v>
      </c>
      <c r="I43" s="62">
        <v>5</v>
      </c>
      <c r="J43" s="45"/>
      <c r="K43" s="395">
        <f>H43-A43</f>
        <v>0</v>
      </c>
      <c r="L43" s="396">
        <f>SUM(K43/A43*100)</f>
        <v>0</v>
      </c>
      <c r="M43" s="370">
        <f>SUM(A43+P43-S43-U43-X43)</f>
        <v>114</v>
      </c>
      <c r="N43" s="371">
        <f>SUM(H43-M43)</f>
        <v>0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3</v>
      </c>
      <c r="AB43" s="45"/>
      <c r="AC43" s="152">
        <v>37</v>
      </c>
      <c r="AD43" s="7">
        <v>4</v>
      </c>
      <c r="AE43" s="446">
        <v>34</v>
      </c>
      <c r="AF43" s="45"/>
    </row>
    <row r="44" spans="1:32" s="305" customFormat="1" ht="21.75" customHeight="1" x14ac:dyDescent="0.2">
      <c r="A44" s="286">
        <f>SUM(A42:A43)</f>
        <v>384</v>
      </c>
      <c r="B44" s="287">
        <f>SUM(B42:B43)</f>
        <v>18</v>
      </c>
      <c r="C44" s="288"/>
      <c r="D44" s="289" t="s">
        <v>44</v>
      </c>
      <c r="E44" s="290">
        <f>SUM(E42:E43)</f>
        <v>15</v>
      </c>
      <c r="F44" s="290">
        <f>SUM(F42:F43)</f>
        <v>15</v>
      </c>
      <c r="G44" s="291"/>
      <c r="H44" s="286">
        <f>SUM(H42:H43)</f>
        <v>387</v>
      </c>
      <c r="I44" s="287">
        <f>SUM(I42:I43)</f>
        <v>18</v>
      </c>
      <c r="J44" s="292"/>
      <c r="K44" s="293">
        <f>H44-A44</f>
        <v>3</v>
      </c>
      <c r="L44" s="294">
        <f>SUM(K44/A44*100)</f>
        <v>0.78125</v>
      </c>
      <c r="M44" s="372">
        <f>SUM(A44+P44-S44-U44-X44)</f>
        <v>387</v>
      </c>
      <c r="N44" s="373">
        <f>SUM(H44-M44)</f>
        <v>0</v>
      </c>
      <c r="O44" s="295"/>
      <c r="P44" s="296">
        <f>SUM(P42:P43)</f>
        <v>8</v>
      </c>
      <c r="Q44" s="297">
        <f>SUM(Q42:Q43)</f>
        <v>1</v>
      </c>
      <c r="R44" s="298"/>
      <c r="S44" s="299">
        <f>SUM(S42:S43)</f>
        <v>3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4.5</v>
      </c>
      <c r="AB44" s="292"/>
      <c r="AC44" s="296">
        <f>SUM(AC43,AC42)/2</f>
        <v>38.5</v>
      </c>
      <c r="AD44" s="303">
        <f>SUM(AD43,AD42)/2</f>
        <v>6.5</v>
      </c>
      <c r="AE44" s="448">
        <f>SUM(AE43,AE42)/2</f>
        <v>54.5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0</v>
      </c>
      <c r="L46" s="96">
        <f>SUM(K46/A46*100)</f>
        <v>0</v>
      </c>
      <c r="M46" s="374">
        <f>SUM(A46+P46-S46-U46-X46)</f>
        <v>159</v>
      </c>
      <c r="N46" s="375">
        <f>SUM(H46-M46)</f>
        <v>3</v>
      </c>
      <c r="O46" s="310"/>
      <c r="P46" s="311">
        <v>6</v>
      </c>
      <c r="Q46" s="312">
        <v>1</v>
      </c>
      <c r="R46" s="313"/>
      <c r="S46" s="314">
        <v>5</v>
      </c>
      <c r="T46" s="319" t="s">
        <v>97</v>
      </c>
      <c r="U46" s="315">
        <v>4</v>
      </c>
      <c r="V46" s="319" t="s">
        <v>97</v>
      </c>
      <c r="W46" s="316"/>
      <c r="X46" s="143">
        <v>0</v>
      </c>
      <c r="Y46" s="310"/>
      <c r="Z46" s="317">
        <v>65</v>
      </c>
      <c r="AA46" s="307">
        <v>14</v>
      </c>
      <c r="AB46" s="309"/>
      <c r="AC46" s="318">
        <v>36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114</v>
      </c>
      <c r="I48" s="307">
        <v>1</v>
      </c>
      <c r="J48" s="309"/>
      <c r="K48" s="397">
        <f>H48-A48</f>
        <v>0</v>
      </c>
      <c r="L48" s="398">
        <f>SUM(K48/A48*100)</f>
        <v>0</v>
      </c>
      <c r="M48" s="374">
        <f>SUM(A48+P48-S48-U48-X48)</f>
        <v>114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29</v>
      </c>
      <c r="G50" s="456"/>
      <c r="H50" s="453">
        <f>SUM(H38,H40,H44,H46,H48)</f>
        <v>783</v>
      </c>
      <c r="I50" s="453">
        <f>SUM(I38,I40,I44,I46,I48)</f>
        <v>55</v>
      </c>
      <c r="J50" s="457"/>
      <c r="K50" s="532">
        <f>SUM(K38,K40,K44,K46,K48)</f>
        <v>4</v>
      </c>
      <c r="L50" s="532">
        <f>SUM(L38,L40,L44,L46,L48)</f>
        <v>4.9479166666666661</v>
      </c>
      <c r="M50" s="458">
        <f>SUM(M38,M40,M44,M46,M48)</f>
        <v>780</v>
      </c>
      <c r="N50" s="458">
        <f>SUM(N38,N40,N44,N46,N48)</f>
        <v>3</v>
      </c>
      <c r="O50" s="460"/>
      <c r="P50" s="463">
        <f>SUM(P38,P40,P44,P46,P48)</f>
        <v>17</v>
      </c>
      <c r="Q50" s="463">
        <f>SUM(Q38,Q40,Q44,Q46,Q48)</f>
        <v>2</v>
      </c>
      <c r="R50" s="461"/>
      <c r="S50" s="463">
        <f>SUM(S38,S40,S44,S46,S48)</f>
        <v>9</v>
      </c>
      <c r="T50" s="463">
        <f t="shared" ref="T50:V50" si="4">SUM(T38,T40,T44,T46,T48)</f>
        <v>0</v>
      </c>
      <c r="U50" s="463">
        <f t="shared" si="4"/>
        <v>7</v>
      </c>
      <c r="V50" s="463">
        <f t="shared" si="4"/>
        <v>0</v>
      </c>
      <c r="W50" s="462"/>
      <c r="X50" s="453">
        <f>SUM(X38,X40,X44,X46,X48)</f>
        <v>0</v>
      </c>
      <c r="Y50" s="460"/>
      <c r="Z50" s="463">
        <v>61</v>
      </c>
      <c r="AA50" s="528">
        <f>SUM(AA38,AA40,AA44,AA46,AA48)</f>
        <v>40.5</v>
      </c>
      <c r="AB50" s="457"/>
      <c r="AC50" s="463">
        <v>39</v>
      </c>
      <c r="AD50" s="530">
        <f>SUM(AD42,AD43,AD46,AD48)/4</f>
        <v>13.25</v>
      </c>
      <c r="AE50" s="529">
        <f>SUM(AE48,AE46,AE44)/3</f>
        <v>58.166666666666664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SUM(A50,A36,A30)</f>
        <v>8278</v>
      </c>
      <c r="B52" s="250">
        <f>SUM(B50,B36,B30)</f>
        <v>702</v>
      </c>
      <c r="C52" s="115"/>
      <c r="D52" s="117" t="s">
        <v>94</v>
      </c>
      <c r="E52" s="158">
        <f>SUM(E50,E36,E30)</f>
        <v>332</v>
      </c>
      <c r="F52" s="158">
        <f>SUM(F50,F36,F30)</f>
        <v>334</v>
      </c>
      <c r="G52" s="116"/>
      <c r="H52" s="157">
        <f>SUM(H50,H36,H30)</f>
        <v>8136</v>
      </c>
      <c r="I52" s="250">
        <f>SUM(I50,I36,I30)</f>
        <v>688</v>
      </c>
      <c r="J52" s="114"/>
      <c r="K52" s="384">
        <f>SUM(K50,K36,K30)</f>
        <v>-142</v>
      </c>
      <c r="L52" s="531">
        <f>SUM(K52/A52*100)</f>
        <v>-1.7153901908673594</v>
      </c>
      <c r="M52" s="385">
        <f>SUM(M50,M36,M30)</f>
        <v>8132</v>
      </c>
      <c r="N52" s="375">
        <f>SUM(N50,N36,N30)</f>
        <v>4</v>
      </c>
      <c r="O52" s="112"/>
      <c r="P52" s="157">
        <f>SUM(P50,P36,P30)</f>
        <v>87</v>
      </c>
      <c r="Q52" s="159">
        <f>SUM(Q50,Q36,Q30)</f>
        <v>31</v>
      </c>
      <c r="R52" s="526"/>
      <c r="S52" s="159">
        <f>SUM(S50,S36,S30)</f>
        <v>106</v>
      </c>
      <c r="T52" s="159">
        <f>SUM(T50,T36,T30)</f>
        <v>0</v>
      </c>
      <c r="U52" s="159">
        <f>SUM(U50,U36,U30)</f>
        <v>116</v>
      </c>
      <c r="V52" s="159">
        <f>SUM(V50,V36,V30)</f>
        <v>0</v>
      </c>
      <c r="W52" s="526"/>
      <c r="X52" s="158">
        <f>SUM(X50,X36,X30)</f>
        <v>11</v>
      </c>
      <c r="Y52" s="112"/>
      <c r="Z52" s="248">
        <f>SUM(Z30,Z36,Z50)/3</f>
        <v>68.333333333333329</v>
      </c>
      <c r="AA52" s="250">
        <f>SUM(AA50,AA36,AA30)/3</f>
        <v>25.944444444444443</v>
      </c>
      <c r="AB52" s="527">
        <f>SUM(AB50,AB36,AB30)/3</f>
        <v>0</v>
      </c>
      <c r="AC52" s="248">
        <v>54</v>
      </c>
      <c r="AD52" s="249">
        <f>SUM(AD30,AD36,AD50)/3</f>
        <v>13.305555555555555</v>
      </c>
      <c r="AE52" s="250">
        <f>SUM(AE50,AE36,AE30)/3</f>
        <v>64.880116959064324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15" t="s">
        <v>0</v>
      </c>
      <c r="AD53" s="615"/>
      <c r="AE53" s="61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7" t="s">
        <v>33</v>
      </c>
      <c r="L54" s="697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B2D-302B-44C6-8EBE-33E428987D5F}">
  <dimension ref="A1:AI55"/>
  <sheetViews>
    <sheetView workbookViewId="0">
      <pane xSplit="4" ySplit="5" topLeftCell="AD24" activePane="bottomRight" state="frozen"/>
      <selection pane="topRight" activeCell="E1" sqref="E1"/>
      <selection pane="bottomLeft" activeCell="A6" sqref="A6"/>
      <selection pane="bottomRight" activeCell="AD28" sqref="AD28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8"/>
      <c r="Z2" s="698"/>
      <c r="AA2" s="698"/>
      <c r="AB2" s="698"/>
      <c r="AC2" s="698"/>
      <c r="AD2" s="698"/>
      <c r="AE2" s="698"/>
      <c r="AF2" s="698"/>
    </row>
    <row r="3" spans="1:34" s="6" customFormat="1" ht="30" customHeight="1" x14ac:dyDescent="0.2">
      <c r="A3" s="322" t="s">
        <v>93</v>
      </c>
      <c r="B3" s="137"/>
      <c r="C3" s="30"/>
      <c r="D3" s="699" t="s">
        <v>61</v>
      </c>
      <c r="E3" s="715" t="s">
        <v>62</v>
      </c>
      <c r="F3" s="716"/>
      <c r="G3" s="31"/>
      <c r="H3" s="717" t="s">
        <v>95</v>
      </c>
      <c r="I3" s="718"/>
      <c r="J3" s="30"/>
      <c r="K3" s="705" t="s">
        <v>36</v>
      </c>
      <c r="L3" s="706"/>
      <c r="M3" s="366" t="s">
        <v>71</v>
      </c>
      <c r="N3" s="719" t="s">
        <v>73</v>
      </c>
      <c r="O3" s="32"/>
      <c r="P3" s="709" t="s">
        <v>69</v>
      </c>
      <c r="Q3" s="710"/>
      <c r="R3" s="710"/>
      <c r="S3" s="710"/>
      <c r="T3" s="710"/>
      <c r="U3" s="710"/>
      <c r="V3" s="710"/>
      <c r="W3" s="710"/>
      <c r="X3" s="711"/>
      <c r="Y3" s="32"/>
      <c r="Z3" s="712" t="s">
        <v>60</v>
      </c>
      <c r="AA3" s="713"/>
      <c r="AB3" s="714"/>
      <c r="AC3" s="714"/>
      <c r="AD3" s="714"/>
      <c r="AE3" s="714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700"/>
      <c r="E4" s="377" t="s">
        <v>91</v>
      </c>
      <c r="F4" s="377" t="s">
        <v>92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720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193</v>
      </c>
      <c r="I6" s="465">
        <v>32</v>
      </c>
      <c r="J6" s="423"/>
      <c r="K6" s="470">
        <f t="shared" ref="K6:K24" si="0">H6-A6</f>
        <v>-4</v>
      </c>
      <c r="L6" s="471">
        <f t="shared" ref="L6:L24" si="1">SUM(K6/A6*100)</f>
        <v>-2.030456852791878</v>
      </c>
      <c r="M6" s="503">
        <f t="shared" ref="M6:M24" si="2">SUM(A6+P6-S6-U6-X6)</f>
        <v>193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475">
        <v>0</v>
      </c>
      <c r="U6" s="505">
        <v>4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68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410</v>
      </c>
      <c r="I7" s="62">
        <v>42</v>
      </c>
      <c r="J7" s="45"/>
      <c r="K7" s="78">
        <f t="shared" si="0"/>
        <v>-6</v>
      </c>
      <c r="L7" s="79">
        <f t="shared" si="1"/>
        <v>-1.4423076923076923</v>
      </c>
      <c r="M7" s="380">
        <f t="shared" si="2"/>
        <v>413</v>
      </c>
      <c r="N7" s="371">
        <f t="shared" si="3"/>
        <v>-3</v>
      </c>
      <c r="O7" s="28"/>
      <c r="P7" s="7">
        <v>2</v>
      </c>
      <c r="Q7" s="7">
        <v>7</v>
      </c>
      <c r="R7" s="125"/>
      <c r="S7" s="42">
        <v>2</v>
      </c>
      <c r="T7" s="7">
        <v>0</v>
      </c>
      <c r="U7" s="43">
        <v>3</v>
      </c>
      <c r="V7" s="7">
        <v>0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65</v>
      </c>
      <c r="AD7" s="51">
        <v>21</v>
      </c>
      <c r="AE7" s="510">
        <v>80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10</v>
      </c>
      <c r="G8" s="22"/>
      <c r="H8" s="44">
        <v>242</v>
      </c>
      <c r="I8" s="62">
        <v>13</v>
      </c>
      <c r="J8" s="45"/>
      <c r="K8" s="78">
        <f t="shared" si="0"/>
        <v>-5</v>
      </c>
      <c r="L8" s="79">
        <f t="shared" si="1"/>
        <v>-2.0242914979757085</v>
      </c>
      <c r="M8" s="380">
        <f t="shared" si="2"/>
        <v>242</v>
      </c>
      <c r="N8" s="371">
        <f t="shared" si="3"/>
        <v>0</v>
      </c>
      <c r="O8" s="28"/>
      <c r="P8" s="7">
        <v>1</v>
      </c>
      <c r="Q8" s="7">
        <v>0</v>
      </c>
      <c r="R8" s="125"/>
      <c r="S8" s="39">
        <v>6</v>
      </c>
      <c r="T8" s="7">
        <v>0</v>
      </c>
      <c r="U8" s="43">
        <v>0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25</v>
      </c>
      <c r="AE8" s="510">
        <v>72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145</v>
      </c>
      <c r="I9" s="62">
        <v>27</v>
      </c>
      <c r="J9" s="45"/>
      <c r="K9" s="78">
        <f t="shared" si="0"/>
        <v>-2</v>
      </c>
      <c r="L9" s="79">
        <f t="shared" si="1"/>
        <v>-1.3605442176870748</v>
      </c>
      <c r="M9" s="380">
        <f t="shared" si="2"/>
        <v>145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1</v>
      </c>
      <c r="T9" s="7">
        <v>0</v>
      </c>
      <c r="U9" s="43">
        <v>1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0</v>
      </c>
      <c r="AD9" s="107">
        <v>6</v>
      </c>
      <c r="AE9" s="511">
        <v>75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11</v>
      </c>
      <c r="G10" s="22"/>
      <c r="H10" s="44">
        <v>300</v>
      </c>
      <c r="I10" s="62">
        <v>29</v>
      </c>
      <c r="J10" s="45"/>
      <c r="K10" s="78">
        <f t="shared" si="0"/>
        <v>-2</v>
      </c>
      <c r="L10" s="79">
        <f t="shared" si="1"/>
        <v>-0.66225165562913912</v>
      </c>
      <c r="M10" s="380">
        <f t="shared" si="2"/>
        <v>299</v>
      </c>
      <c r="N10" s="371">
        <f t="shared" si="3"/>
        <v>1</v>
      </c>
      <c r="O10" s="28"/>
      <c r="P10" s="7">
        <v>1</v>
      </c>
      <c r="Q10" s="7">
        <v>0</v>
      </c>
      <c r="R10" s="125"/>
      <c r="S10" s="42">
        <v>3</v>
      </c>
      <c r="T10" s="7">
        <v>0</v>
      </c>
      <c r="U10" s="43">
        <v>1</v>
      </c>
      <c r="V10" s="7">
        <v>0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70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30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282</v>
      </c>
      <c r="N11" s="371">
        <f t="shared" si="3"/>
        <v>0</v>
      </c>
      <c r="O11" s="28"/>
      <c r="P11" s="7">
        <v>3</v>
      </c>
      <c r="Q11" s="7">
        <v>0</v>
      </c>
      <c r="R11" s="125"/>
      <c r="S11" s="39">
        <v>1</v>
      </c>
      <c r="T11" s="7">
        <v>0</v>
      </c>
      <c r="U11" s="40">
        <v>2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45</v>
      </c>
      <c r="AD11" s="7">
        <v>30</v>
      </c>
      <c r="AE11" s="446">
        <v>87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636</v>
      </c>
      <c r="I12" s="62">
        <v>48</v>
      </c>
      <c r="J12" s="45"/>
      <c r="K12" s="78">
        <f t="shared" si="0"/>
        <v>-11</v>
      </c>
      <c r="L12" s="79">
        <f t="shared" si="1"/>
        <v>-1.7001545595054095</v>
      </c>
      <c r="M12" s="380">
        <f t="shared" si="2"/>
        <v>637</v>
      </c>
      <c r="N12" s="371">
        <f t="shared" si="3"/>
        <v>-1</v>
      </c>
      <c r="O12" s="28"/>
      <c r="P12" s="7">
        <v>0</v>
      </c>
      <c r="Q12" s="7">
        <v>0</v>
      </c>
      <c r="R12" s="125"/>
      <c r="S12" s="42">
        <v>5</v>
      </c>
      <c r="T12" s="7">
        <v>0</v>
      </c>
      <c r="U12" s="43">
        <v>5</v>
      </c>
      <c r="V12" s="7">
        <v>0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13</v>
      </c>
      <c r="AE12" s="510">
        <v>61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293</v>
      </c>
      <c r="I13" s="62">
        <v>26</v>
      </c>
      <c r="J13" s="45"/>
      <c r="K13" s="78">
        <f t="shared" si="0"/>
        <v>-15</v>
      </c>
      <c r="L13" s="79">
        <f t="shared" si="1"/>
        <v>-4.8701298701298708</v>
      </c>
      <c r="M13" s="380">
        <f t="shared" si="2"/>
        <v>295</v>
      </c>
      <c r="N13" s="371">
        <f t="shared" si="3"/>
        <v>-2</v>
      </c>
      <c r="O13" s="28"/>
      <c r="P13" s="7">
        <v>0</v>
      </c>
      <c r="Q13" s="7">
        <v>0</v>
      </c>
      <c r="R13" s="125"/>
      <c r="S13" s="39">
        <v>11</v>
      </c>
      <c r="T13" s="7">
        <v>0</v>
      </c>
      <c r="U13" s="43">
        <v>2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68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578</v>
      </c>
      <c r="I14" s="62">
        <v>55</v>
      </c>
      <c r="J14" s="45"/>
      <c r="K14" s="78">
        <f t="shared" si="0"/>
        <v>-9</v>
      </c>
      <c r="L14" s="79">
        <f t="shared" si="1"/>
        <v>-1.5332197614991483</v>
      </c>
      <c r="M14" s="380">
        <f t="shared" si="2"/>
        <v>578</v>
      </c>
      <c r="N14" s="371">
        <f t="shared" si="3"/>
        <v>0</v>
      </c>
      <c r="O14" s="28"/>
      <c r="P14" s="7">
        <v>3</v>
      </c>
      <c r="Q14" s="7">
        <v>3</v>
      </c>
      <c r="R14" s="125"/>
      <c r="S14" s="42">
        <v>6</v>
      </c>
      <c r="T14" s="7">
        <v>0</v>
      </c>
      <c r="U14" s="43">
        <v>6</v>
      </c>
      <c r="V14" s="7">
        <v>0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47</v>
      </c>
      <c r="AD14" s="7">
        <v>11</v>
      </c>
      <c r="AE14" s="446">
        <v>61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305</v>
      </c>
      <c r="I15" s="62">
        <v>23</v>
      </c>
      <c r="J15" s="45"/>
      <c r="K15" s="78">
        <f t="shared" si="0"/>
        <v>-4</v>
      </c>
      <c r="L15" s="79">
        <f t="shared" si="1"/>
        <v>-1.2944983818770228</v>
      </c>
      <c r="M15" s="380">
        <f t="shared" si="2"/>
        <v>306</v>
      </c>
      <c r="N15" s="371">
        <f t="shared" si="3"/>
        <v>-1</v>
      </c>
      <c r="O15" s="28"/>
      <c r="P15" s="7">
        <v>0</v>
      </c>
      <c r="Q15" s="7">
        <v>1</v>
      </c>
      <c r="R15" s="125"/>
      <c r="S15" s="39">
        <v>1</v>
      </c>
      <c r="T15" s="7">
        <v>0</v>
      </c>
      <c r="U15" s="43">
        <v>2</v>
      </c>
      <c r="V15" s="7">
        <v>0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462</v>
      </c>
      <c r="I16" s="62">
        <v>26</v>
      </c>
      <c r="J16" s="45"/>
      <c r="K16" s="395">
        <f t="shared" si="0"/>
        <v>1</v>
      </c>
      <c r="L16" s="396">
        <f t="shared" si="1"/>
        <v>0.21691973969631237</v>
      </c>
      <c r="M16" s="380">
        <f t="shared" si="2"/>
        <v>457</v>
      </c>
      <c r="N16" s="371">
        <f t="shared" si="3"/>
        <v>5</v>
      </c>
      <c r="O16" s="28"/>
      <c r="P16" s="7">
        <v>0</v>
      </c>
      <c r="Q16" s="7">
        <v>2</v>
      </c>
      <c r="R16" s="125"/>
      <c r="S16" s="39">
        <v>2</v>
      </c>
      <c r="T16" s="7">
        <v>0</v>
      </c>
      <c r="U16" s="40">
        <v>2</v>
      </c>
      <c r="V16" s="7">
        <v>0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15</v>
      </c>
      <c r="AE16" s="510">
        <v>66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370</v>
      </c>
      <c r="I17" s="62">
        <v>41</v>
      </c>
      <c r="J17" s="45"/>
      <c r="K17" s="78">
        <f t="shared" si="0"/>
        <v>-2</v>
      </c>
      <c r="L17" s="79">
        <f t="shared" si="1"/>
        <v>-0.53763440860215062</v>
      </c>
      <c r="M17" s="380">
        <f t="shared" si="2"/>
        <v>370</v>
      </c>
      <c r="N17" s="371">
        <f t="shared" si="3"/>
        <v>0</v>
      </c>
      <c r="O17" s="28"/>
      <c r="P17" s="7">
        <v>1</v>
      </c>
      <c r="Q17" s="7">
        <v>0</v>
      </c>
      <c r="R17" s="125"/>
      <c r="S17" s="39">
        <v>2</v>
      </c>
      <c r="T17" s="7">
        <v>0</v>
      </c>
      <c r="U17" s="43">
        <v>1</v>
      </c>
      <c r="V17" s="7">
        <v>0</v>
      </c>
      <c r="W17" s="125"/>
      <c r="X17" s="41">
        <v>0</v>
      </c>
      <c r="Y17" s="28"/>
      <c r="Z17" s="484">
        <v>73</v>
      </c>
      <c r="AA17" s="62">
        <v>21</v>
      </c>
      <c r="AB17" s="45"/>
      <c r="AC17" s="109">
        <v>74</v>
      </c>
      <c r="AD17" s="7">
        <v>2</v>
      </c>
      <c r="AE17" s="446">
        <v>61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166</v>
      </c>
      <c r="I18" s="62">
        <v>15</v>
      </c>
      <c r="J18" s="45"/>
      <c r="K18" s="78">
        <f t="shared" si="0"/>
        <v>-2</v>
      </c>
      <c r="L18" s="79">
        <f t="shared" si="1"/>
        <v>-1.1904761904761905</v>
      </c>
      <c r="M18" s="380">
        <f t="shared" si="2"/>
        <v>166</v>
      </c>
      <c r="N18" s="371">
        <f t="shared" si="3"/>
        <v>0</v>
      </c>
      <c r="O18" s="28"/>
      <c r="P18" s="7">
        <v>0</v>
      </c>
      <c r="Q18" s="7">
        <v>0</v>
      </c>
      <c r="R18" s="125"/>
      <c r="S18" s="42">
        <v>1</v>
      </c>
      <c r="T18" s="7">
        <v>0</v>
      </c>
      <c r="U18" s="43">
        <v>1</v>
      </c>
      <c r="V18" s="7">
        <v>0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0</v>
      </c>
      <c r="AD18" s="7">
        <v>35</v>
      </c>
      <c r="AE18" s="446">
        <v>71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381</v>
      </c>
      <c r="I19" s="62">
        <v>25</v>
      </c>
      <c r="J19" s="45"/>
      <c r="K19" s="78">
        <f t="shared" si="0"/>
        <v>-6</v>
      </c>
      <c r="L19" s="79">
        <f t="shared" si="1"/>
        <v>-1.5503875968992249</v>
      </c>
      <c r="M19" s="380">
        <f t="shared" si="2"/>
        <v>381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3</v>
      </c>
      <c r="T19" s="7">
        <v>0</v>
      </c>
      <c r="U19" s="43">
        <v>3</v>
      </c>
      <c r="V19" s="7">
        <v>0</v>
      </c>
      <c r="W19" s="125"/>
      <c r="X19" s="41">
        <v>0</v>
      </c>
      <c r="Y19" s="28"/>
      <c r="Z19" s="484">
        <v>69</v>
      </c>
      <c r="AA19" s="62">
        <v>20</v>
      </c>
      <c r="AB19" s="45"/>
      <c r="AC19" s="152">
        <v>0</v>
      </c>
      <c r="AD19" s="7">
        <v>11</v>
      </c>
      <c r="AE19" s="446">
        <v>65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298</v>
      </c>
      <c r="I20" s="62">
        <v>9</v>
      </c>
      <c r="J20" s="45"/>
      <c r="K20" s="395">
        <f t="shared" si="0"/>
        <v>2</v>
      </c>
      <c r="L20" s="396">
        <f t="shared" si="1"/>
        <v>0.67567567567567566</v>
      </c>
      <c r="M20" s="380">
        <f t="shared" si="2"/>
        <v>297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0</v>
      </c>
      <c r="T20" s="7">
        <v>0</v>
      </c>
      <c r="U20" s="43">
        <v>1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76</v>
      </c>
      <c r="AD20" s="7">
        <v>0</v>
      </c>
      <c r="AE20" s="446">
        <v>0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304</v>
      </c>
      <c r="I21" s="62">
        <v>26</v>
      </c>
      <c r="J21" s="45"/>
      <c r="K21" s="78">
        <f t="shared" si="0"/>
        <v>-4</v>
      </c>
      <c r="L21" s="79">
        <f t="shared" si="1"/>
        <v>-1.2987012987012987</v>
      </c>
      <c r="M21" s="380">
        <f t="shared" si="2"/>
        <v>303</v>
      </c>
      <c r="N21" s="371">
        <f t="shared" si="3"/>
        <v>1</v>
      </c>
      <c r="O21" s="28"/>
      <c r="P21" s="7">
        <v>1</v>
      </c>
      <c r="Q21" s="7">
        <v>3</v>
      </c>
      <c r="R21" s="125"/>
      <c r="S21" s="42">
        <v>2</v>
      </c>
      <c r="T21" s="7">
        <v>0</v>
      </c>
      <c r="U21" s="43">
        <v>3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260</v>
      </c>
      <c r="I22" s="62">
        <v>27</v>
      </c>
      <c r="J22" s="45"/>
      <c r="K22" s="395">
        <f t="shared" si="0"/>
        <v>1</v>
      </c>
      <c r="L22" s="396">
        <f t="shared" si="1"/>
        <v>0.38610038610038611</v>
      </c>
      <c r="M22" s="380">
        <f t="shared" si="2"/>
        <v>260</v>
      </c>
      <c r="N22" s="371">
        <f t="shared" si="3"/>
        <v>0</v>
      </c>
      <c r="O22" s="28"/>
      <c r="P22" s="7">
        <v>3</v>
      </c>
      <c r="Q22" s="7">
        <v>0</v>
      </c>
      <c r="R22" s="125"/>
      <c r="S22" s="42">
        <v>0</v>
      </c>
      <c r="T22" s="7">
        <v>0</v>
      </c>
      <c r="U22" s="43">
        <v>2</v>
      </c>
      <c r="V22" s="7">
        <v>0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76</v>
      </c>
      <c r="AD22" s="7">
        <v>0</v>
      </c>
      <c r="AE22" s="446">
        <v>0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709</v>
      </c>
      <c r="I23" s="62">
        <v>56</v>
      </c>
      <c r="J23" s="45"/>
      <c r="K23" s="78">
        <f t="shared" si="0"/>
        <v>-13</v>
      </c>
      <c r="L23" s="79">
        <f t="shared" si="1"/>
        <v>-1.8005540166204987</v>
      </c>
      <c r="M23" s="380">
        <f t="shared" si="2"/>
        <v>707</v>
      </c>
      <c r="N23" s="371">
        <f t="shared" si="3"/>
        <v>2</v>
      </c>
      <c r="O23" s="28"/>
      <c r="P23" s="7">
        <v>0</v>
      </c>
      <c r="Q23" s="7">
        <v>1</v>
      </c>
      <c r="R23" s="125"/>
      <c r="S23" s="42">
        <v>5</v>
      </c>
      <c r="T23" s="7">
        <v>0</v>
      </c>
      <c r="U23" s="43">
        <v>9</v>
      </c>
      <c r="V23" s="7">
        <v>0</v>
      </c>
      <c r="W23" s="125"/>
      <c r="X23" s="41">
        <v>1</v>
      </c>
      <c r="Y23" s="28"/>
      <c r="Z23" s="484">
        <v>69</v>
      </c>
      <c r="AA23" s="62">
        <v>19</v>
      </c>
      <c r="AB23" s="45"/>
      <c r="AC23" s="109">
        <v>0</v>
      </c>
      <c r="AD23" s="7">
        <v>17</v>
      </c>
      <c r="AE23" s="446">
        <v>67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156</v>
      </c>
      <c r="I24" s="401">
        <v>23</v>
      </c>
      <c r="J24" s="45"/>
      <c r="K24" s="609">
        <f t="shared" si="0"/>
        <v>-2</v>
      </c>
      <c r="L24" s="610">
        <f t="shared" si="1"/>
        <v>-1.2658227848101267</v>
      </c>
      <c r="M24" s="405">
        <f t="shared" si="2"/>
        <v>154</v>
      </c>
      <c r="N24" s="373">
        <f t="shared" si="3"/>
        <v>2</v>
      </c>
      <c r="O24" s="28"/>
      <c r="P24" s="407">
        <v>0</v>
      </c>
      <c r="Q24" s="407">
        <v>1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40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55">
        <v>0</v>
      </c>
      <c r="AE26" s="515">
        <v>0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3">
        <f>SUM(A6,A7,A8,A9,A10,A11,A12,A13,A14,A15,A16,A17,A18,A19,A20,A21,A22,A23,A24,A26)</f>
        <v>6574</v>
      </c>
      <c r="B28" s="516">
        <f>SUM(B26,B6:B24)</f>
        <v>581</v>
      </c>
      <c r="C28" s="454"/>
      <c r="D28" s="455" t="s">
        <v>58</v>
      </c>
      <c r="E28" s="517">
        <f>SUM(E26,E6:E24)</f>
        <v>265</v>
      </c>
      <c r="F28" s="517">
        <f>SUM(F26,F6:F24)</f>
        <v>265</v>
      </c>
      <c r="G28" s="456"/>
      <c r="H28" s="453">
        <f>SUM(H6,H7,H8,H9,H10,H11,H12,H13,H14,H15,H16,H17,H18,H19,H20,H21,H22,H23,H24,H26)</f>
        <v>6491</v>
      </c>
      <c r="I28" s="516">
        <f>SUM(I26,I6:I24)</f>
        <v>573</v>
      </c>
      <c r="J28" s="457"/>
      <c r="K28" s="518">
        <f>SUM(K26,K6:K24)</f>
        <v>-83</v>
      </c>
      <c r="L28" s="519">
        <f>SUM(K28/A28*100)</f>
        <v>-1.2625494371767569</v>
      </c>
      <c r="M28" s="520">
        <f>SUM(M26,M6:M24)</f>
        <v>6486</v>
      </c>
      <c r="N28" s="459">
        <f>SUM(N26,N6:N24)</f>
        <v>5</v>
      </c>
      <c r="O28" s="460"/>
      <c r="P28" s="521">
        <f>SUM(P26,P6:P24)</f>
        <v>18</v>
      </c>
      <c r="Q28" s="522">
        <f>SUM(Q26,Q6:Q24)</f>
        <v>19</v>
      </c>
      <c r="R28" s="461"/>
      <c r="S28" s="523">
        <f>SUM(S26,S6:S24)</f>
        <v>54</v>
      </c>
      <c r="T28" s="523">
        <f t="shared" ref="T28:V28" si="4">SUM(T26,T6:T24)</f>
        <v>0</v>
      </c>
      <c r="U28" s="523">
        <f t="shared" si="4"/>
        <v>50</v>
      </c>
      <c r="V28" s="523">
        <f t="shared" si="4"/>
        <v>0</v>
      </c>
      <c r="W28" s="461"/>
      <c r="X28" s="517">
        <f>SUM(X26,X6:X24)</f>
        <v>2</v>
      </c>
      <c r="Y28" s="460"/>
      <c r="Z28" s="524">
        <f>SUM(Z26,Z6:Z24)/20</f>
        <v>72.150000000000006</v>
      </c>
      <c r="AA28" s="516">
        <f>SUM(AA26,AA6:AA24)/20</f>
        <v>22.9</v>
      </c>
      <c r="AB28" s="457"/>
      <c r="AC28" s="524">
        <f>SUM(AC26,AC6:AC24)/18</f>
        <v>36.722222222222221</v>
      </c>
      <c r="AD28" s="523">
        <f>SUM(AD26,AD6:AD24)/20</f>
        <v>14.25</v>
      </c>
      <c r="AE28" s="525">
        <f>SUM(AE26,AE6:AE24)/20</f>
        <v>57.3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9">
        <v>372</v>
      </c>
      <c r="B30" s="465">
        <v>27</v>
      </c>
      <c r="C30" s="416"/>
      <c r="D30" s="466" t="s">
        <v>38</v>
      </c>
      <c r="E30" s="468">
        <v>13</v>
      </c>
      <c r="F30" s="468">
        <v>13</v>
      </c>
      <c r="G30" s="420"/>
      <c r="H30" s="469">
        <v>375</v>
      </c>
      <c r="I30" s="465">
        <v>26</v>
      </c>
      <c r="J30" s="423"/>
      <c r="K30" s="611">
        <f>H30-A30</f>
        <v>3</v>
      </c>
      <c r="L30" s="612">
        <f>SUM(K30/A30*100)</f>
        <v>0.80645161290322576</v>
      </c>
      <c r="M30" s="472">
        <f>SUM(A30+P30-S30-U30-X30)</f>
        <v>375</v>
      </c>
      <c r="N30" s="473">
        <f>SUM(H30-M30)</f>
        <v>0</v>
      </c>
      <c r="O30" s="426"/>
      <c r="P30" s="474">
        <v>12</v>
      </c>
      <c r="Q30" s="475">
        <v>2</v>
      </c>
      <c r="R30" s="476"/>
      <c r="S30" s="477">
        <v>6</v>
      </c>
      <c r="T30" s="475">
        <v>0</v>
      </c>
      <c r="U30" s="478">
        <v>2</v>
      </c>
      <c r="V30" s="475">
        <v>0</v>
      </c>
      <c r="W30" s="479"/>
      <c r="X30" s="480">
        <v>1</v>
      </c>
      <c r="Y30" s="426"/>
      <c r="Z30" s="481">
        <v>74</v>
      </c>
      <c r="AA30" s="465">
        <v>15</v>
      </c>
      <c r="AB30" s="423"/>
      <c r="AC30" s="482">
        <v>52</v>
      </c>
      <c r="AD30" s="475">
        <v>5</v>
      </c>
      <c r="AE30" s="483">
        <v>70</v>
      </c>
      <c r="AF30" s="45"/>
    </row>
    <row r="31" spans="1:35" ht="21.75" customHeight="1" x14ac:dyDescent="0.2">
      <c r="A31" s="50">
        <v>396</v>
      </c>
      <c r="B31" s="62">
        <v>16</v>
      </c>
      <c r="C31" s="21"/>
      <c r="D31" s="99" t="s">
        <v>39</v>
      </c>
      <c r="E31" s="142">
        <v>15</v>
      </c>
      <c r="F31" s="142">
        <v>15</v>
      </c>
      <c r="G31" s="22"/>
      <c r="H31" s="50">
        <v>394</v>
      </c>
      <c r="I31" s="62">
        <v>15</v>
      </c>
      <c r="J31" s="45"/>
      <c r="K31" s="78">
        <f>H31-A31</f>
        <v>-2</v>
      </c>
      <c r="L31" s="79">
        <f>SUM(K31/A31*100)</f>
        <v>-0.50505050505050508</v>
      </c>
      <c r="M31" s="370">
        <f>SUM(A31+P31-S31-U31-X31)</f>
        <v>394</v>
      </c>
      <c r="N31" s="371">
        <f>SUM(H31-M31)</f>
        <v>0</v>
      </c>
      <c r="O31" s="28"/>
      <c r="P31" s="38">
        <v>4</v>
      </c>
      <c r="Q31" s="7">
        <v>0</v>
      </c>
      <c r="R31" s="125"/>
      <c r="S31" s="42">
        <v>3</v>
      </c>
      <c r="T31" s="7">
        <v>0</v>
      </c>
      <c r="U31" s="43">
        <v>3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59</v>
      </c>
      <c r="AD31" s="7">
        <v>8</v>
      </c>
      <c r="AE31" s="446">
        <v>58</v>
      </c>
      <c r="AF31" s="45"/>
    </row>
    <row r="32" spans="1:35" ht="21.75" customHeight="1" x14ac:dyDescent="0.2">
      <c r="A32" s="50">
        <v>99</v>
      </c>
      <c r="B32" s="62">
        <v>9</v>
      </c>
      <c r="C32" s="21"/>
      <c r="D32" s="99" t="s">
        <v>40</v>
      </c>
      <c r="E32" s="142">
        <v>6</v>
      </c>
      <c r="F32" s="142">
        <v>6</v>
      </c>
      <c r="G32" s="22"/>
      <c r="H32" s="50">
        <v>98</v>
      </c>
      <c r="I32" s="62">
        <v>9</v>
      </c>
      <c r="J32" s="45"/>
      <c r="K32" s="78">
        <f>H32-A32</f>
        <v>-1</v>
      </c>
      <c r="L32" s="79">
        <f>SUM(K32/A32*100)</f>
        <v>-1.0101010101010102</v>
      </c>
      <c r="M32" s="370">
        <f>SUM(A32+P32-S32-U32-X32)</f>
        <v>98</v>
      </c>
      <c r="N32" s="371">
        <f>SUM(H32-M32)</f>
        <v>0</v>
      </c>
      <c r="O32" s="28"/>
      <c r="P32" s="38">
        <v>2</v>
      </c>
      <c r="Q32" s="7">
        <v>0</v>
      </c>
      <c r="R32" s="125"/>
      <c r="S32" s="42">
        <v>3</v>
      </c>
      <c r="T32" s="7">
        <v>0</v>
      </c>
      <c r="U32" s="43">
        <v>0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62</v>
      </c>
      <c r="AD32" s="7">
        <v>9</v>
      </c>
      <c r="AE32" s="446">
        <v>71</v>
      </c>
      <c r="AF32" s="45"/>
    </row>
    <row r="33" spans="1:32" ht="21.75" customHeight="1" x14ac:dyDescent="0.2">
      <c r="A33" s="50">
        <v>11</v>
      </c>
      <c r="B33" s="62">
        <v>0</v>
      </c>
      <c r="C33" s="21"/>
      <c r="D33" s="99" t="s">
        <v>63</v>
      </c>
      <c r="E33" s="142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12</v>
      </c>
      <c r="N33" s="371">
        <v>0</v>
      </c>
      <c r="O33" s="28"/>
      <c r="P33" s="38">
        <v>1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90">
        <f>SUM(A30:A33)</f>
        <v>878</v>
      </c>
      <c r="B34" s="487">
        <f>SUM(B30:B33)</f>
        <v>52</v>
      </c>
      <c r="C34" s="454"/>
      <c r="D34" s="488" t="s">
        <v>59</v>
      </c>
      <c r="E34" s="489">
        <f>SUM(E30:E33)</f>
        <v>35</v>
      </c>
      <c r="F34" s="489">
        <f>SUM(F30:F33)</f>
        <v>35</v>
      </c>
      <c r="G34" s="456"/>
      <c r="H34" s="490">
        <f>SUM(H30:H33)</f>
        <v>878</v>
      </c>
      <c r="I34" s="487">
        <f>SUM(I30:I33)</f>
        <v>50</v>
      </c>
      <c r="J34" s="457"/>
      <c r="K34" s="491">
        <f>H34-A34</f>
        <v>0</v>
      </c>
      <c r="L34" s="492">
        <f>SUM(K34/A34*100)</f>
        <v>0</v>
      </c>
      <c r="M34" s="493">
        <f>SUM(M30:M33)</f>
        <v>879</v>
      </c>
      <c r="N34" s="494">
        <f>SUM(H34-M34)</f>
        <v>-1</v>
      </c>
      <c r="O34" s="460"/>
      <c r="P34" s="490">
        <f>SUM(P30:P33)</f>
        <v>19</v>
      </c>
      <c r="Q34" s="490">
        <f>SUM(Q30:Q33)</f>
        <v>2</v>
      </c>
      <c r="R34" s="496"/>
      <c r="S34" s="495">
        <f>SUM(S30:S33)</f>
        <v>12</v>
      </c>
      <c r="T34" s="495">
        <f>SUM(T30:T33)</f>
        <v>0</v>
      </c>
      <c r="U34" s="495">
        <f>SUM(U30:U33)</f>
        <v>5</v>
      </c>
      <c r="V34" s="495">
        <f>SUM(V30:V33)</f>
        <v>0</v>
      </c>
      <c r="W34" s="496"/>
      <c r="X34" s="487">
        <f>SUM(X30:X33)</f>
        <v>1</v>
      </c>
      <c r="Y34" s="460"/>
      <c r="Z34" s="497">
        <f>SUM(Z30:Z33)/4</f>
        <v>74</v>
      </c>
      <c r="AA34" s="498">
        <f>SUM(AA30:AA33)/4</f>
        <v>14.25</v>
      </c>
      <c r="AB34" s="457"/>
      <c r="AC34" s="497">
        <f>SUM(AC30:AC33)/3</f>
        <v>57.666666666666664</v>
      </c>
      <c r="AD34" s="499">
        <f>SUM(AD30:AD33)/3</f>
        <v>7.333333333333333</v>
      </c>
      <c r="AE34" s="500">
        <f>SUM(AE30:AE33)/3</f>
        <v>66.333333333333329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38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21">
        <v>95</v>
      </c>
      <c r="B36" s="422">
        <v>2</v>
      </c>
      <c r="C36" s="416"/>
      <c r="D36" s="417" t="s">
        <v>79</v>
      </c>
      <c r="E36" s="419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74"/>
      <c r="B37" s="68"/>
      <c r="C37" s="75"/>
      <c r="D37" s="76"/>
      <c r="E37" s="138"/>
      <c r="F37" s="138"/>
      <c r="G37" s="76"/>
      <c r="H37" s="74" t="s">
        <v>0</v>
      </c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53">
        <v>24</v>
      </c>
      <c r="B38" s="72">
        <v>0</v>
      </c>
      <c r="C38" s="21"/>
      <c r="D38" s="94" t="s">
        <v>80</v>
      </c>
      <c r="E38" s="143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0</v>
      </c>
      <c r="L38" s="398">
        <f>SUM(K38/A38*100)</f>
        <v>0</v>
      </c>
      <c r="M38" s="374">
        <f>SUM(A38+P38-S38-U38-X38)</f>
        <v>24</v>
      </c>
      <c r="N38" s="375">
        <f>SUM(H38-M38)</f>
        <v>0</v>
      </c>
      <c r="O38" s="28"/>
      <c r="P38" s="54">
        <v>0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0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91">
        <v>270</v>
      </c>
      <c r="B40" s="61">
        <v>13</v>
      </c>
      <c r="C40" s="21"/>
      <c r="D40" s="98" t="s">
        <v>41</v>
      </c>
      <c r="E40" s="141">
        <v>10</v>
      </c>
      <c r="F40" s="141">
        <v>10</v>
      </c>
      <c r="G40" s="22"/>
      <c r="H40" s="91">
        <v>273</v>
      </c>
      <c r="I40" s="61">
        <v>14</v>
      </c>
      <c r="J40" s="45"/>
      <c r="K40" s="538">
        <f>H40-A40</f>
        <v>3</v>
      </c>
      <c r="L40" s="539">
        <f>SUM(K40/A40*100)</f>
        <v>1.1111111111111112</v>
      </c>
      <c r="M40" s="368">
        <f>SUM(A40+P40-S40-U40-X40)</f>
        <v>273</v>
      </c>
      <c r="N40" s="369">
        <f>SUM(H40-M40)</f>
        <v>0</v>
      </c>
      <c r="O40" s="28"/>
      <c r="P40" s="80">
        <v>5</v>
      </c>
      <c r="Q40" s="81">
        <v>1</v>
      </c>
      <c r="R40" s="124"/>
      <c r="S40" s="92">
        <v>1</v>
      </c>
      <c r="T40" s="81">
        <v>0</v>
      </c>
      <c r="U40" s="93">
        <v>1</v>
      </c>
      <c r="V40" s="81">
        <v>0</v>
      </c>
      <c r="W40" s="131"/>
      <c r="X40" s="82">
        <v>0</v>
      </c>
      <c r="Y40" s="28"/>
      <c r="Z40" s="70">
        <v>61</v>
      </c>
      <c r="AA40" s="61">
        <v>6</v>
      </c>
      <c r="AB40" s="45"/>
      <c r="AC40" s="108">
        <v>40</v>
      </c>
      <c r="AD40" s="156">
        <v>9</v>
      </c>
      <c r="AE40" s="444">
        <v>74</v>
      </c>
      <c r="AF40" s="45"/>
    </row>
    <row r="41" spans="1:32" ht="21.75" customHeight="1" x14ac:dyDescent="0.2">
      <c r="A41" s="50">
        <v>114</v>
      </c>
      <c r="B41" s="62">
        <v>5</v>
      </c>
      <c r="C41" s="21"/>
      <c r="D41" s="99" t="s">
        <v>42</v>
      </c>
      <c r="E41" s="142">
        <v>5</v>
      </c>
      <c r="F41" s="142">
        <v>5</v>
      </c>
      <c r="G41" s="22"/>
      <c r="H41" s="50">
        <v>115</v>
      </c>
      <c r="I41" s="62">
        <v>5</v>
      </c>
      <c r="J41" s="45"/>
      <c r="K41" s="395">
        <f>H41-A41</f>
        <v>1</v>
      </c>
      <c r="L41" s="396">
        <f>SUM(K41/A41*100)</f>
        <v>0.8771929824561403</v>
      </c>
      <c r="M41" s="370">
        <f>SUM(A41+P41-S41-U41-X41)</f>
        <v>115</v>
      </c>
      <c r="N41" s="371">
        <f>SUM(H41-M41)</f>
        <v>0</v>
      </c>
      <c r="O41" s="28"/>
      <c r="P41" s="38">
        <v>2</v>
      </c>
      <c r="Q41" s="7">
        <v>0</v>
      </c>
      <c r="R41" s="125"/>
      <c r="S41" s="42">
        <v>1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40</v>
      </c>
      <c r="AD41" s="7">
        <v>5</v>
      </c>
      <c r="AE41" s="446">
        <v>31</v>
      </c>
      <c r="AF41" s="45"/>
    </row>
    <row r="42" spans="1:32" s="305" customFormat="1" ht="21.75" customHeight="1" x14ac:dyDescent="0.2">
      <c r="A42" s="286">
        <f>SUM(A40:A41)</f>
        <v>384</v>
      </c>
      <c r="B42" s="287">
        <f>SUM(B40:B41)</f>
        <v>18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388</v>
      </c>
      <c r="I42" s="287">
        <f>SUM(I40:I41)</f>
        <v>19</v>
      </c>
      <c r="J42" s="292"/>
      <c r="K42" s="293">
        <f>H42-A42</f>
        <v>4</v>
      </c>
      <c r="L42" s="294">
        <f>SUM(K42/A42*100)</f>
        <v>1.0416666666666665</v>
      </c>
      <c r="M42" s="372">
        <f>SUM(A42+P42-S42-U42-X42)</f>
        <v>388</v>
      </c>
      <c r="N42" s="373">
        <f>SUM(H42-M42)</f>
        <v>0</v>
      </c>
      <c r="O42" s="295"/>
      <c r="P42" s="296">
        <f>SUM(P40:P41)</f>
        <v>7</v>
      </c>
      <c r="Q42" s="297">
        <f>SUM(Q40:Q41)</f>
        <v>1</v>
      </c>
      <c r="R42" s="298"/>
      <c r="S42" s="299">
        <f>SUM(S40:S41)</f>
        <v>2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0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40</v>
      </c>
      <c r="AD42" s="303">
        <f>SUM(AD41,AD40)/2</f>
        <v>7</v>
      </c>
      <c r="AE42" s="448">
        <f>SUM(AE41,AE40)/2</f>
        <v>52.5</v>
      </c>
      <c r="AF42" s="292"/>
    </row>
    <row r="43" spans="1:32" s="11" customFormat="1" ht="4.5" customHeight="1" x14ac:dyDescent="0.2">
      <c r="A43" s="74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306">
        <v>47</v>
      </c>
      <c r="B44" s="307">
        <v>14</v>
      </c>
      <c r="C44" s="308"/>
      <c r="D44" s="94" t="s">
        <v>67</v>
      </c>
      <c r="E44" s="607">
        <v>3</v>
      </c>
      <c r="F44" s="607">
        <v>3</v>
      </c>
      <c r="G44" s="22"/>
      <c r="H44" s="306">
        <v>45</v>
      </c>
      <c r="I44" s="307">
        <v>13</v>
      </c>
      <c r="J44" s="309"/>
      <c r="K44" s="95">
        <f>H44-A44</f>
        <v>-2</v>
      </c>
      <c r="L44" s="96">
        <f>SUM(K44/A44*100)</f>
        <v>-4.2553191489361701</v>
      </c>
      <c r="M44" s="374">
        <f>SUM(A44+P44-S44-U44-X44)</f>
        <v>44</v>
      </c>
      <c r="N44" s="375">
        <f>SUM(H44-M44)</f>
        <v>1</v>
      </c>
      <c r="O44" s="310"/>
      <c r="P44" s="311">
        <v>0</v>
      </c>
      <c r="Q44" s="312">
        <v>0</v>
      </c>
      <c r="R44" s="313"/>
      <c r="S44" s="314">
        <v>1</v>
      </c>
      <c r="T44" s="312">
        <v>0</v>
      </c>
      <c r="U44" s="315">
        <v>1</v>
      </c>
      <c r="V44" s="312">
        <v>0</v>
      </c>
      <c r="W44" s="316"/>
      <c r="X44" s="143">
        <v>1</v>
      </c>
      <c r="Y44" s="310"/>
      <c r="Z44" s="317">
        <v>76</v>
      </c>
      <c r="AA44" s="307">
        <v>29</v>
      </c>
      <c r="AB44" s="309"/>
      <c r="AC44" s="318">
        <v>0</v>
      </c>
      <c r="AD44" s="319">
        <v>3</v>
      </c>
      <c r="AE44" s="450">
        <v>69</v>
      </c>
      <c r="AF44" s="309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13"/>
      <c r="L45" s="614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161</v>
      </c>
      <c r="I46" s="307">
        <v>32</v>
      </c>
      <c r="J46" s="309"/>
      <c r="K46" s="95">
        <f>H46-A46</f>
        <v>-1</v>
      </c>
      <c r="L46" s="96">
        <f>SUM(K46/A46*100)</f>
        <v>-0.61728395061728392</v>
      </c>
      <c r="M46" s="374">
        <f>SUM(A46+P46-S46-U46-X46)</f>
        <v>161</v>
      </c>
      <c r="N46" s="375">
        <f>SUM(H46-M46)</f>
        <v>0</v>
      </c>
      <c r="O46" s="310"/>
      <c r="P46" s="311">
        <v>5</v>
      </c>
      <c r="Q46" s="312">
        <v>1</v>
      </c>
      <c r="R46" s="313"/>
      <c r="S46" s="314">
        <v>4</v>
      </c>
      <c r="T46" s="312">
        <v>0</v>
      </c>
      <c r="U46" s="315">
        <v>2</v>
      </c>
      <c r="V46" s="312">
        <v>0</v>
      </c>
      <c r="W46" s="316"/>
      <c r="X46" s="143">
        <v>0</v>
      </c>
      <c r="Y46" s="310"/>
      <c r="Z46" s="317">
        <v>66</v>
      </c>
      <c r="AA46" s="307">
        <v>14</v>
      </c>
      <c r="AB46" s="309"/>
      <c r="AC46" s="318">
        <v>38</v>
      </c>
      <c r="AD46" s="312">
        <v>4</v>
      </c>
      <c r="AE46" s="451">
        <v>38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115</v>
      </c>
      <c r="I48" s="307">
        <v>1</v>
      </c>
      <c r="J48" s="309"/>
      <c r="K48" s="397">
        <f>H48-A48</f>
        <v>1</v>
      </c>
      <c r="L48" s="398">
        <f>SUM(K48/A48*100)</f>
        <v>0.8771929824561403</v>
      </c>
      <c r="M48" s="374">
        <f>SUM(A48+P48-S48-U48-X48)</f>
        <v>115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63</v>
      </c>
      <c r="AA48" s="307">
        <v>14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SUM(A36,A38,A42,A44,A46,A48)</f>
        <v>826</v>
      </c>
      <c r="B50" s="453">
        <f>SUM(B48,B46,B44,B42,B38,B36)</f>
        <v>69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828</v>
      </c>
      <c r="I50" s="453">
        <f>SUM(I48,I46,I44,I42,I38,I36)</f>
        <v>67</v>
      </c>
      <c r="J50" s="457"/>
      <c r="K50" s="532">
        <f>H50-A50</f>
        <v>2</v>
      </c>
      <c r="L50" s="533">
        <f>SUM(K50/A50*100)</f>
        <v>0.24213075060532688</v>
      </c>
      <c r="M50" s="458">
        <f>SUM(M48,M46,M44,M42,M38,M36)</f>
        <v>827</v>
      </c>
      <c r="N50" s="459">
        <f>SUM(H50-M50)</f>
        <v>1</v>
      </c>
      <c r="O50" s="460"/>
      <c r="P50" s="453">
        <f>SUM(P48,P46,P44,P42,P38,P36)</f>
        <v>14</v>
      </c>
      <c r="Q50" s="453">
        <f>SUM(Q48,Q46,Q44,Q42,Q38,Q36)</f>
        <v>2</v>
      </c>
      <c r="R50" s="461"/>
      <c r="S50" s="453">
        <f>SUM(S48,S46,S44,S42,S38,S36)</f>
        <v>8</v>
      </c>
      <c r="T50" s="453">
        <f>SUM(T48,T46,T44,T42,T38,T36)</f>
        <v>0</v>
      </c>
      <c r="U50" s="453">
        <f>SUM(U48,U46,U44,U42,U38,U36)</f>
        <v>4</v>
      </c>
      <c r="V50" s="453">
        <f>SUM(V48,V46,V44,V42,V38,V36)</f>
        <v>0</v>
      </c>
      <c r="W50" s="462"/>
      <c r="X50" s="453">
        <f>SUM(X48,X46,X44,X42,X38,X36)</f>
        <v>1</v>
      </c>
      <c r="Y50" s="460"/>
      <c r="Z50" s="463">
        <f>SUM(Z48:Z49,Z46,Z44,Z41,Z40,Z38,Z36)/7</f>
        <v>59.428571428571431</v>
      </c>
      <c r="AA50" s="528">
        <f>SUM(AA36,AA38,AA40,AA41,AA44,AA46,AA48)/7</f>
        <v>10.428571428571429</v>
      </c>
      <c r="AB50" s="457"/>
      <c r="AC50" s="463">
        <f>SUM(AC38,AC40,AC41,AC46,AC48)/5</f>
        <v>32.4</v>
      </c>
      <c r="AD50" s="530">
        <f>SUM(AD48,AD46,AD44,AD41,AD40)/5</f>
        <v>10.8</v>
      </c>
      <c r="AE50" s="529">
        <f>SUM(AE48,AE46,AE44,AE42,AE38,AE36)/5</f>
        <v>47.3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8278</v>
      </c>
      <c r="B52" s="250">
        <f>SUM(B50,B34,B28)</f>
        <v>702</v>
      </c>
      <c r="C52" s="115"/>
      <c r="D52" s="117" t="s">
        <v>94</v>
      </c>
      <c r="E52" s="158">
        <f>SUM(E50,E34,E28)</f>
        <v>332</v>
      </c>
      <c r="F52" s="158">
        <f>SUM(F50,F34,F28)</f>
        <v>332</v>
      </c>
      <c r="G52" s="116"/>
      <c r="H52" s="157">
        <f>SUM(H50,H34,H28)</f>
        <v>8197</v>
      </c>
      <c r="I52" s="250">
        <f>SUM(I50,I34,I28)</f>
        <v>690</v>
      </c>
      <c r="J52" s="114"/>
      <c r="K52" s="384">
        <f>SUM(K50,K34,K28)</f>
        <v>-81</v>
      </c>
      <c r="L52" s="531">
        <f>SUM(K52/A52*100)</f>
        <v>-0.97849722155109919</v>
      </c>
      <c r="M52" s="385">
        <f>SUM(M50,M34,M28)</f>
        <v>8192</v>
      </c>
      <c r="N52" s="375">
        <f>SUM(N50,N34,N28)</f>
        <v>5</v>
      </c>
      <c r="O52" s="112"/>
      <c r="P52" s="157">
        <f>SUM(P50,P34,P28)</f>
        <v>51</v>
      </c>
      <c r="Q52" s="159">
        <f>SUM(Q50,Q34,Q28)</f>
        <v>23</v>
      </c>
      <c r="R52" s="526"/>
      <c r="S52" s="159">
        <f>SUM(S50,S34,S28)</f>
        <v>74</v>
      </c>
      <c r="T52" s="159">
        <f>SUM(T50,T34,T28)</f>
        <v>0</v>
      </c>
      <c r="U52" s="159">
        <f>SUM(U50,U34,U28)</f>
        <v>59</v>
      </c>
      <c r="V52" s="159">
        <f>SUM(V50,V34,V28)</f>
        <v>0</v>
      </c>
      <c r="W52" s="526"/>
      <c r="X52" s="158">
        <f>SUM(X50,X34,X28)</f>
        <v>4</v>
      </c>
      <c r="Y52" s="112"/>
      <c r="Z52" s="248">
        <f>SUM(Z48,Z46,Z44,Z41,Z40,Z38,Z36,Z33,Z32,Z31,Z30,Z26,Z24,Z23,Z22,Z21,Z20,Z19,Z18,Z17,Z16,Z15,Z14,Z13,Z12,Z11,Z10,Z9,Z8,Z7,Z6)/31</f>
        <v>69.516129032258064</v>
      </c>
      <c r="AA52" s="250">
        <f>SUM(AA48,AA46,AA44,AA41,AA40,AA38,AA36,AA33,AA32,AA31,AA30,AA26,AA24,AA23,AA22,AA21,AA20,AA19,AA18,AA17,AA16,AA15,AA14,AA13,AA12,AA11,AA10,AA9,AA8,AA7,AA6)/31</f>
        <v>18.967741935483872</v>
      </c>
      <c r="AB52" s="527">
        <f t="shared" ref="AB52" si="5">SUM(AB50,AB34,AB28)/3</f>
        <v>0</v>
      </c>
      <c r="AC52" s="248">
        <f>SUM(AC48,AC46,AC41,AC40,AC32,AC31,AC30,AC24,AC22,AC21,AC20,AC17,AC14,AC11,AC10,AC8,AC7,AC6)/18</f>
        <v>55.333333333333336</v>
      </c>
      <c r="AD52" s="249">
        <f>SUM(AD48,AD46,AD44,AD41,AD40,AD32,AD31,AD30,AD24,AD23,AD21,AD19,AD18,AD17,AD16,AD15,AD14,AD13,AD12,AD11,AD10,AD9,AD8,AD7,AD6)/25</f>
        <v>14.44</v>
      </c>
      <c r="AE52" s="250">
        <f>SUM(AE48,AE46,AE44,AE41,AE40,AE32,AE31,AE30,AE24,AE23,AE21,AE19,AE18,AE17,AE16,AE15,AE14,AE13,AE12,AE11,AE10,AE9,AE8,AE7,AE6)/25</f>
        <v>65.36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08" t="s">
        <v>0</v>
      </c>
      <c r="AD53" s="608"/>
      <c r="AE53" s="608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7" t="s">
        <v>33</v>
      </c>
      <c r="L54" s="697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6867-0F5C-4532-A655-4959B15AEE29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D25" sqref="D2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8"/>
      <c r="Z2" s="698"/>
      <c r="AA2" s="698"/>
      <c r="AB2" s="698"/>
      <c r="AC2" s="698"/>
      <c r="AD2" s="698"/>
      <c r="AE2" s="698"/>
      <c r="AF2" s="698"/>
    </row>
    <row r="3" spans="1:34" s="6" customFormat="1" ht="30" customHeight="1" x14ac:dyDescent="0.2">
      <c r="A3" s="322" t="s">
        <v>82</v>
      </c>
      <c r="B3" s="137"/>
      <c r="C3" s="30"/>
      <c r="D3" s="699" t="s">
        <v>61</v>
      </c>
      <c r="E3" s="715" t="s">
        <v>62</v>
      </c>
      <c r="F3" s="716"/>
      <c r="G3" s="31"/>
      <c r="H3" s="717" t="s">
        <v>87</v>
      </c>
      <c r="I3" s="718"/>
      <c r="J3" s="30"/>
      <c r="K3" s="705" t="s">
        <v>36</v>
      </c>
      <c r="L3" s="706"/>
      <c r="M3" s="366" t="s">
        <v>71</v>
      </c>
      <c r="N3" s="719" t="s">
        <v>73</v>
      </c>
      <c r="O3" s="32"/>
      <c r="P3" s="709" t="s">
        <v>69</v>
      </c>
      <c r="Q3" s="710"/>
      <c r="R3" s="710"/>
      <c r="S3" s="710"/>
      <c r="T3" s="710"/>
      <c r="U3" s="710"/>
      <c r="V3" s="710"/>
      <c r="W3" s="710"/>
      <c r="X3" s="711"/>
      <c r="Y3" s="32"/>
      <c r="Z3" s="712" t="s">
        <v>60</v>
      </c>
      <c r="AA3" s="713"/>
      <c r="AB3" s="714"/>
      <c r="AC3" s="714"/>
      <c r="AD3" s="714"/>
      <c r="AE3" s="714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700"/>
      <c r="E4" s="377" t="s">
        <v>76</v>
      </c>
      <c r="F4" s="377" t="s">
        <v>88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720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10</v>
      </c>
      <c r="G6" s="420"/>
      <c r="H6" s="502">
        <v>197</v>
      </c>
      <c r="I6" s="465">
        <v>32</v>
      </c>
      <c r="J6" s="423"/>
      <c r="K6" s="470">
        <f t="shared" ref="K6:K24" si="0">H6-A6</f>
        <v>-9</v>
      </c>
      <c r="L6" s="471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4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44</v>
      </c>
      <c r="AD6" s="507">
        <v>10</v>
      </c>
      <c r="AE6" s="508">
        <v>57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16</v>
      </c>
      <c r="G7" s="22"/>
      <c r="H7" s="44">
        <v>416</v>
      </c>
      <c r="I7" s="62">
        <v>42</v>
      </c>
      <c r="J7" s="45"/>
      <c r="K7" s="78">
        <f t="shared" si="0"/>
        <v>-26</v>
      </c>
      <c r="L7" s="79">
        <f t="shared" si="1"/>
        <v>-5.8823529411764701</v>
      </c>
      <c r="M7" s="380">
        <f t="shared" si="2"/>
        <v>414</v>
      </c>
      <c r="N7" s="371">
        <f t="shared" si="3"/>
        <v>2</v>
      </c>
      <c r="O7" s="28"/>
      <c r="P7" s="38">
        <v>6</v>
      </c>
      <c r="Q7" s="7">
        <v>2</v>
      </c>
      <c r="R7" s="125"/>
      <c r="S7" s="42">
        <v>16</v>
      </c>
      <c r="T7" s="7">
        <v>0</v>
      </c>
      <c r="U7" s="43">
        <v>16</v>
      </c>
      <c r="V7" s="7">
        <v>0</v>
      </c>
      <c r="W7" s="125"/>
      <c r="X7" s="41">
        <v>2</v>
      </c>
      <c r="Y7" s="28"/>
      <c r="Z7" s="484">
        <v>70</v>
      </c>
      <c r="AA7" s="62">
        <v>20</v>
      </c>
      <c r="AB7" s="45"/>
      <c r="AC7" s="71">
        <v>68</v>
      </c>
      <c r="AD7" s="51">
        <v>10</v>
      </c>
      <c r="AE7" s="510">
        <v>59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10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246</v>
      </c>
      <c r="N8" s="371">
        <f t="shared" si="3"/>
        <v>1</v>
      </c>
      <c r="O8" s="28"/>
      <c r="P8" s="38">
        <v>7</v>
      </c>
      <c r="Q8" s="7">
        <v>0</v>
      </c>
      <c r="R8" s="125"/>
      <c r="S8" s="39">
        <v>6</v>
      </c>
      <c r="T8" s="7">
        <v>0</v>
      </c>
      <c r="U8" s="43">
        <v>12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50</v>
      </c>
      <c r="AD8" s="51">
        <v>10</v>
      </c>
      <c r="AE8" s="510">
        <v>67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8</v>
      </c>
      <c r="G9" s="22"/>
      <c r="H9" s="44">
        <v>147</v>
      </c>
      <c r="I9" s="62">
        <v>27</v>
      </c>
      <c r="J9" s="45"/>
      <c r="K9" s="78">
        <f t="shared" si="0"/>
        <v>-11</v>
      </c>
      <c r="L9" s="79">
        <f t="shared" si="1"/>
        <v>-6.962025316455696</v>
      </c>
      <c r="M9" s="380">
        <f t="shared" si="2"/>
        <v>143</v>
      </c>
      <c r="N9" s="371">
        <f t="shared" si="3"/>
        <v>4</v>
      </c>
      <c r="O9" s="28"/>
      <c r="P9" s="38">
        <v>2</v>
      </c>
      <c r="Q9" s="7">
        <v>1</v>
      </c>
      <c r="R9" s="125"/>
      <c r="S9" s="39">
        <v>4</v>
      </c>
      <c r="T9" s="7">
        <v>0</v>
      </c>
      <c r="U9" s="43">
        <v>13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70</v>
      </c>
      <c r="AD9" s="107">
        <v>6</v>
      </c>
      <c r="AE9" s="511">
        <v>64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11</v>
      </c>
      <c r="G10" s="22"/>
      <c r="H10" s="44">
        <v>302</v>
      </c>
      <c r="I10" s="62">
        <v>29</v>
      </c>
      <c r="J10" s="45"/>
      <c r="K10" s="78">
        <f t="shared" si="0"/>
        <v>-24</v>
      </c>
      <c r="L10" s="79">
        <f t="shared" si="1"/>
        <v>-7.3619631901840492</v>
      </c>
      <c r="M10" s="380">
        <f t="shared" si="2"/>
        <v>303</v>
      </c>
      <c r="N10" s="371">
        <f t="shared" si="3"/>
        <v>-1</v>
      </c>
      <c r="O10" s="28"/>
      <c r="P10" s="38">
        <v>2</v>
      </c>
      <c r="Q10" s="7">
        <v>2</v>
      </c>
      <c r="R10" s="125"/>
      <c r="S10" s="42">
        <v>4</v>
      </c>
      <c r="T10" s="7">
        <v>0</v>
      </c>
      <c r="U10" s="43">
        <v>16</v>
      </c>
      <c r="V10" s="7">
        <v>0</v>
      </c>
      <c r="W10" s="125"/>
      <c r="X10" s="41">
        <v>5</v>
      </c>
      <c r="Y10" s="28"/>
      <c r="Z10" s="484">
        <v>73</v>
      </c>
      <c r="AA10" s="62">
        <v>21</v>
      </c>
      <c r="AB10" s="45"/>
      <c r="AC10" s="71">
        <v>39</v>
      </c>
      <c r="AD10" s="51">
        <v>16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17</v>
      </c>
      <c r="G11" s="22"/>
      <c r="H11" s="44">
        <v>282</v>
      </c>
      <c r="I11" s="62">
        <v>30</v>
      </c>
      <c r="J11" s="45"/>
      <c r="K11" s="78">
        <f t="shared" si="0"/>
        <v>-26</v>
      </c>
      <c r="L11" s="79">
        <f t="shared" si="1"/>
        <v>-8.4415584415584419</v>
      </c>
      <c r="M11" s="380">
        <f t="shared" si="2"/>
        <v>279</v>
      </c>
      <c r="N11" s="371">
        <f t="shared" si="3"/>
        <v>3</v>
      </c>
      <c r="O11" s="28"/>
      <c r="P11" s="38">
        <v>2</v>
      </c>
      <c r="Q11" s="7">
        <v>1</v>
      </c>
      <c r="R11" s="125"/>
      <c r="S11" s="39">
        <v>15</v>
      </c>
      <c r="T11" s="7">
        <v>0</v>
      </c>
      <c r="U11" s="40">
        <v>15</v>
      </c>
      <c r="V11" s="7">
        <v>0</v>
      </c>
      <c r="W11" s="125"/>
      <c r="X11" s="41">
        <v>1</v>
      </c>
      <c r="Y11" s="28"/>
      <c r="Z11" s="484">
        <v>72</v>
      </c>
      <c r="AA11" s="62">
        <v>23</v>
      </c>
      <c r="AB11" s="45"/>
      <c r="AC11" s="152">
        <v>47</v>
      </c>
      <c r="AD11" s="7">
        <v>19</v>
      </c>
      <c r="AE11" s="446">
        <v>68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23</v>
      </c>
      <c r="G12" s="22"/>
      <c r="H12" s="44">
        <v>647</v>
      </c>
      <c r="I12" s="62">
        <v>49</v>
      </c>
      <c r="J12" s="45"/>
      <c r="K12" s="78">
        <f t="shared" si="0"/>
        <v>-22</v>
      </c>
      <c r="L12" s="79">
        <f t="shared" si="1"/>
        <v>-3.2884902840059791</v>
      </c>
      <c r="M12" s="380">
        <f t="shared" si="2"/>
        <v>633</v>
      </c>
      <c r="N12" s="371">
        <f t="shared" si="3"/>
        <v>14</v>
      </c>
      <c r="O12" s="28"/>
      <c r="P12" s="38">
        <v>4</v>
      </c>
      <c r="Q12" s="7">
        <v>4</v>
      </c>
      <c r="R12" s="125"/>
      <c r="S12" s="42">
        <v>11</v>
      </c>
      <c r="T12" s="7">
        <v>0</v>
      </c>
      <c r="U12" s="43">
        <v>24</v>
      </c>
      <c r="V12" s="7">
        <v>0</v>
      </c>
      <c r="W12" s="125"/>
      <c r="X12" s="41">
        <v>5</v>
      </c>
      <c r="Y12" s="28"/>
      <c r="Z12" s="484">
        <v>71</v>
      </c>
      <c r="AA12" s="62">
        <v>23</v>
      </c>
      <c r="AB12" s="45"/>
      <c r="AC12" s="109">
        <v>54</v>
      </c>
      <c r="AD12" s="51">
        <v>14</v>
      </c>
      <c r="AE12" s="510">
        <v>63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14</v>
      </c>
      <c r="G13" s="22"/>
      <c r="H13" s="44">
        <v>308</v>
      </c>
      <c r="I13" s="62">
        <v>30</v>
      </c>
      <c r="J13" s="45"/>
      <c r="K13" s="78">
        <f t="shared" si="0"/>
        <v>-1</v>
      </c>
      <c r="L13" s="79">
        <f t="shared" si="1"/>
        <v>-0.3236245954692557</v>
      </c>
      <c r="M13" s="380">
        <f t="shared" si="2"/>
        <v>292</v>
      </c>
      <c r="N13" s="371">
        <f t="shared" si="3"/>
        <v>16</v>
      </c>
      <c r="O13" s="28"/>
      <c r="P13" s="38">
        <v>2</v>
      </c>
      <c r="Q13" s="7">
        <v>0</v>
      </c>
      <c r="R13" s="125"/>
      <c r="S13" s="39">
        <v>9</v>
      </c>
      <c r="T13" s="7">
        <v>0</v>
      </c>
      <c r="U13" s="43">
        <v>10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57</v>
      </c>
      <c r="AD13" s="51">
        <v>10</v>
      </c>
      <c r="AE13" s="510">
        <v>64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19</v>
      </c>
      <c r="G14" s="22"/>
      <c r="H14" s="44">
        <v>587</v>
      </c>
      <c r="I14" s="62">
        <v>54</v>
      </c>
      <c r="J14" s="45"/>
      <c r="K14" s="395">
        <f t="shared" si="0"/>
        <v>-1</v>
      </c>
      <c r="L14" s="396">
        <f t="shared" si="1"/>
        <v>-0.17006802721088435</v>
      </c>
      <c r="M14" s="380">
        <f t="shared" si="2"/>
        <v>582</v>
      </c>
      <c r="N14" s="371">
        <f t="shared" si="3"/>
        <v>5</v>
      </c>
      <c r="O14" s="28"/>
      <c r="P14" s="38">
        <v>22</v>
      </c>
      <c r="Q14" s="7">
        <v>3</v>
      </c>
      <c r="R14" s="125"/>
      <c r="S14" s="42">
        <v>11</v>
      </c>
      <c r="T14" s="7">
        <v>0</v>
      </c>
      <c r="U14" s="43">
        <v>16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54</v>
      </c>
      <c r="AD14" s="7">
        <v>11</v>
      </c>
      <c r="AE14" s="446">
        <v>62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15</v>
      </c>
      <c r="G15" s="22"/>
      <c r="H15" s="44">
        <v>309</v>
      </c>
      <c r="I15" s="62">
        <v>24</v>
      </c>
      <c r="J15" s="45"/>
      <c r="K15" s="78">
        <f t="shared" si="0"/>
        <v>-24</v>
      </c>
      <c r="L15" s="79">
        <f t="shared" si="1"/>
        <v>-7.2072072072072073</v>
      </c>
      <c r="M15" s="380">
        <f t="shared" si="2"/>
        <v>305</v>
      </c>
      <c r="N15" s="371">
        <f t="shared" si="3"/>
        <v>4</v>
      </c>
      <c r="O15" s="28"/>
      <c r="P15" s="38">
        <v>2</v>
      </c>
      <c r="Q15" s="7">
        <v>0</v>
      </c>
      <c r="R15" s="125"/>
      <c r="S15" s="39">
        <v>11</v>
      </c>
      <c r="T15" s="7">
        <v>0</v>
      </c>
      <c r="U15" s="43">
        <v>17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70</v>
      </c>
      <c r="AD15" s="51">
        <v>15</v>
      </c>
      <c r="AE15" s="510">
        <v>67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17</v>
      </c>
      <c r="G16" s="22"/>
      <c r="H16" s="44">
        <v>461</v>
      </c>
      <c r="I16" s="62">
        <v>28</v>
      </c>
      <c r="J16" s="45"/>
      <c r="K16" s="78">
        <f t="shared" si="0"/>
        <v>-26</v>
      </c>
      <c r="L16" s="79">
        <f t="shared" si="1"/>
        <v>-5.3388090349075972</v>
      </c>
      <c r="M16" s="380">
        <f t="shared" si="2"/>
        <v>455</v>
      </c>
      <c r="N16" s="371">
        <f t="shared" si="3"/>
        <v>6</v>
      </c>
      <c r="O16" s="28"/>
      <c r="P16" s="38">
        <v>11</v>
      </c>
      <c r="Q16" s="7">
        <v>1</v>
      </c>
      <c r="R16" s="125"/>
      <c r="S16" s="39">
        <v>20</v>
      </c>
      <c r="T16" s="7">
        <v>0</v>
      </c>
      <c r="U16" s="40">
        <v>19</v>
      </c>
      <c r="V16" s="7">
        <v>0</v>
      </c>
      <c r="W16" s="125"/>
      <c r="X16" s="41">
        <v>4</v>
      </c>
      <c r="Y16" s="28"/>
      <c r="Z16" s="484">
        <v>73</v>
      </c>
      <c r="AA16" s="62">
        <v>22</v>
      </c>
      <c r="AB16" s="45"/>
      <c r="AC16" s="71">
        <v>66</v>
      </c>
      <c r="AD16" s="51">
        <v>12</v>
      </c>
      <c r="AE16" s="510">
        <v>63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15</v>
      </c>
      <c r="G17" s="22"/>
      <c r="H17" s="44">
        <v>372</v>
      </c>
      <c r="I17" s="62">
        <v>40</v>
      </c>
      <c r="J17" s="45"/>
      <c r="K17" s="78">
        <f t="shared" si="0"/>
        <v>-22</v>
      </c>
      <c r="L17" s="79">
        <f t="shared" si="1"/>
        <v>-5.5837563451776653</v>
      </c>
      <c r="M17" s="380">
        <f t="shared" si="2"/>
        <v>369</v>
      </c>
      <c r="N17" s="371">
        <f t="shared" si="3"/>
        <v>3</v>
      </c>
      <c r="O17" s="28"/>
      <c r="P17" s="38">
        <v>4</v>
      </c>
      <c r="Q17" s="7">
        <v>2</v>
      </c>
      <c r="R17" s="125"/>
      <c r="S17" s="39">
        <v>15</v>
      </c>
      <c r="T17" s="7">
        <v>0</v>
      </c>
      <c r="U17" s="43">
        <v>13</v>
      </c>
      <c r="V17" s="7">
        <v>0</v>
      </c>
      <c r="W17" s="125"/>
      <c r="X17" s="41">
        <v>1</v>
      </c>
      <c r="Y17" s="28"/>
      <c r="Z17" s="484">
        <v>73</v>
      </c>
      <c r="AA17" s="62">
        <v>21</v>
      </c>
      <c r="AB17" s="45"/>
      <c r="AC17" s="109">
        <v>49</v>
      </c>
      <c r="AD17" s="7">
        <v>19</v>
      </c>
      <c r="AE17" s="446">
        <v>65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8</v>
      </c>
      <c r="G18" s="22"/>
      <c r="H18" s="44">
        <v>168</v>
      </c>
      <c r="I18" s="62">
        <v>19</v>
      </c>
      <c r="J18" s="45"/>
      <c r="K18" s="78">
        <f t="shared" si="0"/>
        <v>-13</v>
      </c>
      <c r="L18" s="79">
        <f t="shared" si="1"/>
        <v>-7.1823204419889501</v>
      </c>
      <c r="M18" s="380">
        <f t="shared" si="2"/>
        <v>168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8</v>
      </c>
      <c r="T18" s="7">
        <v>0</v>
      </c>
      <c r="U18" s="43">
        <v>3</v>
      </c>
      <c r="V18" s="7">
        <v>0</v>
      </c>
      <c r="W18" s="125"/>
      <c r="X18" s="41">
        <v>2</v>
      </c>
      <c r="Y18" s="28"/>
      <c r="Z18" s="484">
        <v>72</v>
      </c>
      <c r="AA18" s="62">
        <v>21</v>
      </c>
      <c r="AB18" s="45"/>
      <c r="AC18" s="399">
        <v>0</v>
      </c>
      <c r="AD18" s="7">
        <v>9</v>
      </c>
      <c r="AE18" s="446">
        <v>71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14</v>
      </c>
      <c r="G19" s="22"/>
      <c r="H19" s="44">
        <v>387</v>
      </c>
      <c r="I19" s="62">
        <v>26</v>
      </c>
      <c r="J19" s="45"/>
      <c r="K19" s="78">
        <f t="shared" si="0"/>
        <v>-31</v>
      </c>
      <c r="L19" s="79">
        <f t="shared" si="1"/>
        <v>-7.4162679425837315</v>
      </c>
      <c r="M19" s="380">
        <f t="shared" si="2"/>
        <v>385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10</v>
      </c>
      <c r="T19" s="7">
        <v>0</v>
      </c>
      <c r="U19" s="43">
        <v>17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42</v>
      </c>
      <c r="AD19" s="7">
        <v>16</v>
      </c>
      <c r="AE19" s="446">
        <v>68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11</v>
      </c>
      <c r="G20" s="22"/>
      <c r="H20" s="44">
        <v>296</v>
      </c>
      <c r="I20" s="62">
        <v>9</v>
      </c>
      <c r="J20" s="45"/>
      <c r="K20" s="78">
        <f t="shared" si="0"/>
        <v>-3</v>
      </c>
      <c r="L20" s="79">
        <f t="shared" si="1"/>
        <v>-1.0033444816053512</v>
      </c>
      <c r="M20" s="380">
        <f t="shared" si="2"/>
        <v>290</v>
      </c>
      <c r="N20" s="371">
        <f t="shared" si="3"/>
        <v>6</v>
      </c>
      <c r="O20" s="28"/>
      <c r="P20" s="38">
        <v>4</v>
      </c>
      <c r="Q20" s="7">
        <v>0</v>
      </c>
      <c r="R20" s="125"/>
      <c r="S20" s="42">
        <v>4</v>
      </c>
      <c r="T20" s="7">
        <v>0</v>
      </c>
      <c r="U20" s="43">
        <v>9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52</v>
      </c>
      <c r="AD20" s="7">
        <v>19</v>
      </c>
      <c r="AE20" s="446">
        <v>70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11</v>
      </c>
      <c r="G21" s="22"/>
      <c r="H21" s="44">
        <v>308</v>
      </c>
      <c r="I21" s="62">
        <v>22</v>
      </c>
      <c r="J21" s="45"/>
      <c r="K21" s="78">
        <f t="shared" si="0"/>
        <v>-19</v>
      </c>
      <c r="L21" s="79">
        <f t="shared" si="1"/>
        <v>-5.81039755351682</v>
      </c>
      <c r="M21" s="380">
        <f t="shared" si="2"/>
        <v>303</v>
      </c>
      <c r="N21" s="371">
        <f t="shared" si="3"/>
        <v>5</v>
      </c>
      <c r="O21" s="28"/>
      <c r="P21" s="38">
        <v>2</v>
      </c>
      <c r="Q21" s="7">
        <v>1</v>
      </c>
      <c r="R21" s="125"/>
      <c r="S21" s="42">
        <v>14</v>
      </c>
      <c r="T21" s="7">
        <v>0</v>
      </c>
      <c r="U21" s="43">
        <v>11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62</v>
      </c>
      <c r="AD21" s="7">
        <v>14</v>
      </c>
      <c r="AE21" s="446">
        <v>61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12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251</v>
      </c>
      <c r="N22" s="371">
        <f t="shared" si="3"/>
        <v>8</v>
      </c>
      <c r="O22" s="28"/>
      <c r="P22" s="38">
        <v>3</v>
      </c>
      <c r="Q22" s="7">
        <v>4</v>
      </c>
      <c r="R22" s="125"/>
      <c r="S22" s="42">
        <v>14</v>
      </c>
      <c r="T22" s="7">
        <v>0</v>
      </c>
      <c r="U22" s="43">
        <v>10</v>
      </c>
      <c r="V22" s="7">
        <v>0</v>
      </c>
      <c r="W22" s="125"/>
      <c r="X22" s="41">
        <v>2</v>
      </c>
      <c r="Y22" s="28"/>
      <c r="Z22" s="484">
        <v>75</v>
      </c>
      <c r="AA22" s="62">
        <v>24</v>
      </c>
      <c r="AB22" s="45"/>
      <c r="AC22" s="109">
        <v>55</v>
      </c>
      <c r="AD22" s="7">
        <v>16</v>
      </c>
      <c r="AE22" s="446">
        <v>74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22</v>
      </c>
      <c r="G23" s="22"/>
      <c r="H23" s="44">
        <v>722</v>
      </c>
      <c r="I23" s="62">
        <v>57</v>
      </c>
      <c r="J23" s="45"/>
      <c r="K23" s="78">
        <f t="shared" si="0"/>
        <v>-29</v>
      </c>
      <c r="L23" s="79">
        <f t="shared" si="1"/>
        <v>-3.8615179760319571</v>
      </c>
      <c r="M23" s="380">
        <f t="shared" si="2"/>
        <v>719</v>
      </c>
      <c r="N23" s="371">
        <f t="shared" si="3"/>
        <v>3</v>
      </c>
      <c r="O23" s="28"/>
      <c r="P23" s="38">
        <v>9</v>
      </c>
      <c r="Q23" s="7">
        <v>7</v>
      </c>
      <c r="R23" s="125"/>
      <c r="S23" s="42">
        <v>15</v>
      </c>
      <c r="T23" s="7">
        <v>0</v>
      </c>
      <c r="U23" s="43">
        <v>23</v>
      </c>
      <c r="V23" s="7">
        <v>0</v>
      </c>
      <c r="W23" s="125"/>
      <c r="X23" s="41">
        <v>3</v>
      </c>
      <c r="Y23" s="28"/>
      <c r="Z23" s="484">
        <v>69</v>
      </c>
      <c r="AA23" s="62">
        <v>19</v>
      </c>
      <c r="AB23" s="45"/>
      <c r="AC23" s="109">
        <v>57</v>
      </c>
      <c r="AD23" s="7">
        <v>12</v>
      </c>
      <c r="AE23" s="446">
        <v>58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9</v>
      </c>
      <c r="G24" s="22"/>
      <c r="H24" s="400">
        <v>158</v>
      </c>
      <c r="I24" s="401">
        <v>23</v>
      </c>
      <c r="J24" s="45"/>
      <c r="K24" s="534">
        <f t="shared" si="0"/>
        <v>7</v>
      </c>
      <c r="L24" s="535">
        <f t="shared" si="1"/>
        <v>4.6357615894039732</v>
      </c>
      <c r="M24" s="405">
        <f t="shared" si="2"/>
        <v>151</v>
      </c>
      <c r="N24" s="373">
        <f t="shared" si="3"/>
        <v>7</v>
      </c>
      <c r="O24" s="28"/>
      <c r="P24" s="406">
        <v>5</v>
      </c>
      <c r="Q24" s="407">
        <v>4</v>
      </c>
      <c r="R24" s="408"/>
      <c r="S24" s="409">
        <v>2</v>
      </c>
      <c r="T24" s="407">
        <v>0</v>
      </c>
      <c r="U24" s="410">
        <v>3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47</v>
      </c>
      <c r="AD24" s="407">
        <v>4</v>
      </c>
      <c r="AE24" s="513">
        <v>68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89</v>
      </c>
      <c r="E26" s="147">
        <v>1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-91</v>
      </c>
      <c r="L26" s="96">
        <f>SUM(K26/A26*100)</f>
        <v>-98.91304347826086</v>
      </c>
      <c r="M26" s="374">
        <f>SUM(A26+P26-S26-U26-X26)</f>
        <v>81</v>
      </c>
      <c r="N26" s="375">
        <f>SUM(H26-M26)</f>
        <v>-80</v>
      </c>
      <c r="O26" s="28"/>
      <c r="P26" s="100">
        <v>0</v>
      </c>
      <c r="Q26" s="55">
        <v>0</v>
      </c>
      <c r="R26" s="128"/>
      <c r="S26" s="101">
        <v>4</v>
      </c>
      <c r="T26" s="55">
        <v>0</v>
      </c>
      <c r="U26" s="102">
        <v>1</v>
      </c>
      <c r="V26" s="55">
        <v>0</v>
      </c>
      <c r="W26" s="130"/>
      <c r="X26" s="103">
        <v>6</v>
      </c>
      <c r="Y26" s="28"/>
      <c r="Z26" s="73">
        <v>86</v>
      </c>
      <c r="AA26" s="105">
        <v>40</v>
      </c>
      <c r="AB26" s="45"/>
      <c r="AC26" s="110">
        <v>0</v>
      </c>
      <c r="AD26" s="55">
        <v>18</v>
      </c>
      <c r="AE26" s="515">
        <v>73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265</v>
      </c>
      <c r="G28" s="456"/>
      <c r="H28" s="453">
        <f>SUM(H6,H7,H8,H9,H10,H11,H12,H13,H14,H15,H16,H17,H18,H19,H20,H21,H22,H23,H24,H26)</f>
        <v>6574</v>
      </c>
      <c r="I28" s="516">
        <f>SUM(I26,I6:I24)</f>
        <v>581</v>
      </c>
      <c r="J28" s="457"/>
      <c r="K28" s="518">
        <f>SUM(K26,K6:K24)</f>
        <v>-396</v>
      </c>
      <c r="L28" s="519">
        <f>SUM(K28/A28*100)</f>
        <v>-5.6814921090387376</v>
      </c>
      <c r="M28" s="520">
        <f>SUM(M26,M6:M24)</f>
        <v>6566</v>
      </c>
      <c r="N28" s="459">
        <f>SUM(N26,N6:N24)</f>
        <v>8</v>
      </c>
      <c r="O28" s="460"/>
      <c r="P28" s="521">
        <f>SUM(P26,P6:P24)</f>
        <v>90</v>
      </c>
      <c r="Q28" s="522">
        <f>SUM(Q26,Q6:Q24)</f>
        <v>33</v>
      </c>
      <c r="R28" s="461"/>
      <c r="S28" s="523">
        <f>SUM(S26,S6:S24)</f>
        <v>197</v>
      </c>
      <c r="T28" s="523">
        <f t="shared" ref="T28:V28" si="4">SUM(T26,T6:T24)</f>
        <v>0</v>
      </c>
      <c r="U28" s="523">
        <f t="shared" si="4"/>
        <v>254</v>
      </c>
      <c r="V28" s="523">
        <f t="shared" si="4"/>
        <v>0</v>
      </c>
      <c r="W28" s="461"/>
      <c r="X28" s="517">
        <f>SUM(X26,X6:X24)</f>
        <v>43</v>
      </c>
      <c r="Y28" s="460"/>
      <c r="Z28" s="524">
        <f>SUM(Z26,Z6:Z24)/20</f>
        <v>72.150000000000006</v>
      </c>
      <c r="AA28" s="516">
        <f>SUM(AA26,AA6:AA24)/20</f>
        <v>22.8</v>
      </c>
      <c r="AB28" s="457"/>
      <c r="AC28" s="524">
        <f>SUM(AC26,AC6:AC24)/18</f>
        <v>54.611111111111114</v>
      </c>
      <c r="AD28" s="523">
        <f>SUM(AD26,AD6:AD24)/20</f>
        <v>13</v>
      </c>
      <c r="AE28" s="525">
        <f>SUM(AE26,AE6:AE24)/20</f>
        <v>65.150000000000006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13</v>
      </c>
      <c r="G30" s="420"/>
      <c r="H30" s="469">
        <v>372</v>
      </c>
      <c r="I30" s="465">
        <v>27</v>
      </c>
      <c r="J30" s="423"/>
      <c r="K30" s="470">
        <f>H30-A30</f>
        <v>1</v>
      </c>
      <c r="L30" s="471">
        <f>SUM(K30/A30*100)</f>
        <v>0.26954177897574128</v>
      </c>
      <c r="M30" s="472">
        <f>SUM(A30+P30-S30-U30-X30)</f>
        <v>372</v>
      </c>
      <c r="N30" s="473">
        <f>SUM(H30-M30)</f>
        <v>0</v>
      </c>
      <c r="O30" s="426"/>
      <c r="P30" s="474">
        <v>26</v>
      </c>
      <c r="Q30" s="475">
        <v>3</v>
      </c>
      <c r="R30" s="476"/>
      <c r="S30" s="477">
        <v>12</v>
      </c>
      <c r="T30" s="475">
        <v>0</v>
      </c>
      <c r="U30" s="478">
        <v>12</v>
      </c>
      <c r="V30" s="475">
        <v>0</v>
      </c>
      <c r="W30" s="479"/>
      <c r="X30" s="480">
        <v>1</v>
      </c>
      <c r="Y30" s="426"/>
      <c r="Z30" s="481">
        <v>74</v>
      </c>
      <c r="AA30" s="465">
        <v>16</v>
      </c>
      <c r="AB30" s="423"/>
      <c r="AC30" s="482">
        <v>55</v>
      </c>
      <c r="AD30" s="475">
        <v>14</v>
      </c>
      <c r="AE30" s="483">
        <v>73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396</v>
      </c>
      <c r="I31" s="62">
        <v>16</v>
      </c>
      <c r="J31" s="45"/>
      <c r="K31" s="78">
        <f>H31-A31</f>
        <v>-14</v>
      </c>
      <c r="L31" s="79">
        <f>SUM(K31/A31*100)</f>
        <v>-3.4146341463414638</v>
      </c>
      <c r="M31" s="370">
        <f>SUM(A31+P31-S31-U31-X31)</f>
        <v>391</v>
      </c>
      <c r="N31" s="371">
        <f>SUM(H31-M31)</f>
        <v>5</v>
      </c>
      <c r="O31" s="28"/>
      <c r="P31" s="38">
        <v>12</v>
      </c>
      <c r="Q31" s="7">
        <v>0</v>
      </c>
      <c r="R31" s="125"/>
      <c r="S31" s="42">
        <v>21</v>
      </c>
      <c r="T31" s="7">
        <v>0</v>
      </c>
      <c r="U31" s="43">
        <v>8</v>
      </c>
      <c r="V31" s="7">
        <v>0</v>
      </c>
      <c r="W31" s="132"/>
      <c r="X31" s="41">
        <v>2</v>
      </c>
      <c r="Y31" s="28"/>
      <c r="Z31" s="484">
        <v>72</v>
      </c>
      <c r="AA31" s="62">
        <v>16</v>
      </c>
      <c r="AB31" s="45"/>
      <c r="AC31" s="109">
        <v>59</v>
      </c>
      <c r="AD31" s="7">
        <v>9</v>
      </c>
      <c r="AE31" s="446">
        <v>72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11</v>
      </c>
      <c r="I32" s="62">
        <v>9</v>
      </c>
      <c r="J32" s="45"/>
      <c r="K32" s="78">
        <f>H32-A32</f>
        <v>-98</v>
      </c>
      <c r="L32" s="79">
        <f>SUM(K32/A32*100)</f>
        <v>-89.908256880733944</v>
      </c>
      <c r="M32" s="370">
        <f>SUM(A32+P32-S32-U32-X32)</f>
        <v>99</v>
      </c>
      <c r="N32" s="371">
        <f>SUM(H32-M32)</f>
        <v>-88</v>
      </c>
      <c r="O32" s="28"/>
      <c r="P32" s="38">
        <v>0</v>
      </c>
      <c r="Q32" s="7">
        <v>0</v>
      </c>
      <c r="R32" s="125"/>
      <c r="S32" s="42">
        <v>7</v>
      </c>
      <c r="T32" s="7">
        <v>0</v>
      </c>
      <c r="U32" s="43">
        <v>3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0</v>
      </c>
      <c r="AD32" s="7">
        <v>10</v>
      </c>
      <c r="AE32" s="446">
        <v>77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99</v>
      </c>
      <c r="I33" s="62">
        <v>0</v>
      </c>
      <c r="J33" s="45"/>
      <c r="K33" s="395">
        <f>H33-A33</f>
        <v>88</v>
      </c>
      <c r="L33" s="396">
        <f>SUM(K33/A33*100)</f>
        <v>800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35</v>
      </c>
      <c r="G34" s="456"/>
      <c r="H34" s="490">
        <f>SUM(H30:H33)</f>
        <v>878</v>
      </c>
      <c r="I34" s="487">
        <f>SUM(I30:I33)</f>
        <v>52</v>
      </c>
      <c r="J34" s="457"/>
      <c r="K34" s="491">
        <f>H34-A34</f>
        <v>-23</v>
      </c>
      <c r="L34" s="492">
        <f>SUM(K34/A34*100)</f>
        <v>-2.5527192008879025</v>
      </c>
      <c r="M34" s="493">
        <f>SUM(M30:M33)</f>
        <v>873</v>
      </c>
      <c r="N34" s="494">
        <f>SUM(H34-M34)</f>
        <v>5</v>
      </c>
      <c r="O34" s="460"/>
      <c r="P34" s="490">
        <f>SUM(P30:P33)</f>
        <v>38</v>
      </c>
      <c r="Q34" s="495">
        <f>SUM(Q30:Q33)</f>
        <v>3</v>
      </c>
      <c r="R34" s="496"/>
      <c r="S34" s="495">
        <f>SUM(S30:S33)</f>
        <v>40</v>
      </c>
      <c r="T34" s="495">
        <f>SUM(T30:T33)</f>
        <v>0</v>
      </c>
      <c r="U34" s="495">
        <f>SUM(U30:U33)</f>
        <v>23</v>
      </c>
      <c r="V34" s="495">
        <f>SUM(V30:V33)</f>
        <v>0</v>
      </c>
      <c r="W34" s="496"/>
      <c r="X34" s="487">
        <f>SUM(X30:X33)</f>
        <v>3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57</v>
      </c>
      <c r="AD34" s="499">
        <f>SUM(AD30:AD33)/3</f>
        <v>11</v>
      </c>
      <c r="AE34" s="500">
        <f>SUM(AE30:AE33)/3</f>
        <v>74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270</v>
      </c>
      <c r="I40" s="61">
        <v>13</v>
      </c>
      <c r="J40" s="45"/>
      <c r="K40" s="538">
        <f>H40-A40</f>
        <v>-4</v>
      </c>
      <c r="L40" s="539">
        <f>SUM(K40/A40*100)</f>
        <v>-1.4598540145985401</v>
      </c>
      <c r="M40" s="368">
        <f>SUM(A40+P40-S40-U40-X40)</f>
        <v>270</v>
      </c>
      <c r="N40" s="369">
        <f>SUM(H40-M40)</f>
        <v>0</v>
      </c>
      <c r="O40" s="28"/>
      <c r="P40" s="80">
        <v>4</v>
      </c>
      <c r="Q40" s="81">
        <v>4</v>
      </c>
      <c r="R40" s="124"/>
      <c r="S40" s="92">
        <v>4</v>
      </c>
      <c r="T40" s="81">
        <v>0</v>
      </c>
      <c r="U40" s="93">
        <v>1</v>
      </c>
      <c r="V40" s="81">
        <v>0</v>
      </c>
      <c r="W40" s="131"/>
      <c r="X40" s="82">
        <v>3</v>
      </c>
      <c r="Y40" s="28"/>
      <c r="Z40" s="70">
        <v>61</v>
      </c>
      <c r="AA40" s="61">
        <v>6</v>
      </c>
      <c r="AB40" s="45"/>
      <c r="AC40" s="108">
        <v>66</v>
      </c>
      <c r="AD40" s="156">
        <v>7</v>
      </c>
      <c r="AE40" s="444">
        <v>67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114</v>
      </c>
      <c r="I41" s="62">
        <v>5</v>
      </c>
      <c r="J41" s="45"/>
      <c r="K41" s="395">
        <f>H41-A41</f>
        <v>8</v>
      </c>
      <c r="L41" s="396">
        <f>SUM(K41/A41*100)</f>
        <v>7.5471698113207548</v>
      </c>
      <c r="M41" s="370">
        <f>SUM(A41+P41-S41-U41-X41)</f>
        <v>105</v>
      </c>
      <c r="N41" s="371">
        <f>SUM(H41-M41)</f>
        <v>9</v>
      </c>
      <c r="O41" s="28"/>
      <c r="P41" s="38">
        <v>15</v>
      </c>
      <c r="Q41" s="7">
        <v>0</v>
      </c>
      <c r="R41" s="125"/>
      <c r="S41" s="42">
        <v>10</v>
      </c>
      <c r="T41" s="7">
        <v>0</v>
      </c>
      <c r="U41" s="43">
        <v>6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61</v>
      </c>
      <c r="AD41" s="7">
        <v>4</v>
      </c>
      <c r="AE41" s="446">
        <v>53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384</v>
      </c>
      <c r="I42" s="287">
        <f>SUM(I40:I41)</f>
        <v>18</v>
      </c>
      <c r="J42" s="292"/>
      <c r="K42" s="293">
        <f>H42-A42</f>
        <v>4</v>
      </c>
      <c r="L42" s="294">
        <f>SUM(K42/A42*100)</f>
        <v>1.0526315789473684</v>
      </c>
      <c r="M42" s="372">
        <f>SUM(A42+P42-S42-U42-X42)</f>
        <v>375</v>
      </c>
      <c r="N42" s="373">
        <f>SUM(H42-M42)</f>
        <v>9</v>
      </c>
      <c r="O42" s="295"/>
      <c r="P42" s="296">
        <f>SUM(P40:P41)</f>
        <v>19</v>
      </c>
      <c r="Q42" s="297">
        <f>SUM(Q40:Q41)</f>
        <v>4</v>
      </c>
      <c r="R42" s="298"/>
      <c r="S42" s="299">
        <f>SUM(S40:S41)</f>
        <v>14</v>
      </c>
      <c r="T42" s="297">
        <f>SUM(T40:T41)</f>
        <v>0</v>
      </c>
      <c r="U42" s="300">
        <f>SUM(U40:U41)</f>
        <v>7</v>
      </c>
      <c r="V42" s="297">
        <f>SUM(V40:V41)</f>
        <v>0</v>
      </c>
      <c r="W42" s="301"/>
      <c r="X42" s="290">
        <f>SUM(X40:X41)</f>
        <v>3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63.5</v>
      </c>
      <c r="AD42" s="303">
        <f>SUM(AD41,AD40)/2</f>
        <v>5.5</v>
      </c>
      <c r="AE42" s="448">
        <f>SUM(AE41,AE40)/2</f>
        <v>60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607">
        <v>3</v>
      </c>
      <c r="G44" s="22"/>
      <c r="H44" s="306">
        <v>47</v>
      </c>
      <c r="I44" s="307">
        <v>14</v>
      </c>
      <c r="J44" s="309"/>
      <c r="K44" s="95">
        <f>H44-A44</f>
        <v>-10</v>
      </c>
      <c r="L44" s="383">
        <f>SUM(K44/A44*100)</f>
        <v>-17.543859649122805</v>
      </c>
      <c r="M44" s="374">
        <f>SUM(A44+P44-S44-U44-X44)</f>
        <v>54</v>
      </c>
      <c r="N44" s="375">
        <f>SUM(H44-M44)</f>
        <v>-7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0</v>
      </c>
      <c r="V44" s="312">
        <v>0</v>
      </c>
      <c r="W44" s="316"/>
      <c r="X44" s="143">
        <v>0</v>
      </c>
      <c r="Y44" s="310"/>
      <c r="Z44" s="317">
        <v>76</v>
      </c>
      <c r="AA44" s="307">
        <v>29</v>
      </c>
      <c r="AB44" s="309"/>
      <c r="AC44" s="318">
        <v>0</v>
      </c>
      <c r="AD44" s="319">
        <v>26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3</v>
      </c>
      <c r="L46" s="383">
        <f>SUM(K46/A46*100)</f>
        <v>1.8867924528301887</v>
      </c>
      <c r="M46" s="374">
        <f>SUM(A46+P46-S46-U46-X46)</f>
        <v>162</v>
      </c>
      <c r="N46" s="375">
        <f>SUM(H46-M46)</f>
        <v>0</v>
      </c>
      <c r="O46" s="310"/>
      <c r="P46" s="311">
        <v>17</v>
      </c>
      <c r="Q46" s="312">
        <v>1</v>
      </c>
      <c r="R46" s="313"/>
      <c r="S46" s="314">
        <v>12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66</v>
      </c>
      <c r="AA46" s="307">
        <v>15</v>
      </c>
      <c r="AB46" s="309"/>
      <c r="AC46" s="318">
        <v>50</v>
      </c>
      <c r="AD46" s="312">
        <v>12</v>
      </c>
      <c r="AE46" s="451">
        <v>70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114</v>
      </c>
      <c r="I48" s="307">
        <v>1</v>
      </c>
      <c r="J48" s="309"/>
      <c r="K48" s="95">
        <f>H48-A48</f>
        <v>-4</v>
      </c>
      <c r="L48" s="383">
        <f>SUM(K48/A48*100)</f>
        <v>-3.3898305084745761</v>
      </c>
      <c r="M48" s="374">
        <f>SUM(A48+P48-S48-U48-X48)</f>
        <v>115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2</v>
      </c>
      <c r="T48" s="312">
        <v>0</v>
      </c>
      <c r="U48" s="315">
        <v>1</v>
      </c>
      <c r="V48" s="312">
        <v>0</v>
      </c>
      <c r="W48" s="316"/>
      <c r="X48" s="143">
        <v>1</v>
      </c>
      <c r="Y48" s="310"/>
      <c r="Z48" s="317">
        <v>63</v>
      </c>
      <c r="AA48" s="307">
        <v>15</v>
      </c>
      <c r="AB48" s="309"/>
      <c r="AC48" s="321">
        <v>54</v>
      </c>
      <c r="AD48" s="312">
        <v>7</v>
      </c>
      <c r="AE48" s="451">
        <v>41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826</v>
      </c>
      <c r="I50" s="453">
        <f>SUM(I48,I46,I44,I42,I38,I36)</f>
        <v>69</v>
      </c>
      <c r="J50" s="457"/>
      <c r="K50" s="532">
        <f>H50-A50</f>
        <v>-1</v>
      </c>
      <c r="L50" s="533">
        <f>SUM(K50/A50*100)</f>
        <v>-0.12091898428053204</v>
      </c>
      <c r="M50" s="458">
        <f>SUM(M48,M46,M44,M42,M38,M36)</f>
        <v>825</v>
      </c>
      <c r="N50" s="459">
        <f>SUM(H50-M50)</f>
        <v>1</v>
      </c>
      <c r="O50" s="460"/>
      <c r="P50" s="453">
        <f>SUM(P48,P46,P44,P42,P38,P36)</f>
        <v>43</v>
      </c>
      <c r="Q50" s="453">
        <f>SUM(Q48,Q46,Q44,Q42,Q38,Q36)</f>
        <v>7</v>
      </c>
      <c r="R50" s="461"/>
      <c r="S50" s="453">
        <f>SUM(S48,S46,S44,S42,S38,S36)</f>
        <v>31</v>
      </c>
      <c r="T50" s="453">
        <f>SUM(T48,T46,T44,T42,T38,T36)</f>
        <v>0</v>
      </c>
      <c r="U50" s="453">
        <f>SUM(U48,U46,U44,U42,U38,U36)</f>
        <v>9</v>
      </c>
      <c r="V50" s="453">
        <f>SUM(V48,V46,V44,V42,V38,V36)</f>
        <v>0</v>
      </c>
      <c r="W50" s="462"/>
      <c r="X50" s="453">
        <f>SUM(X48,X46,X44,X42,X38,X36)</f>
        <v>5</v>
      </c>
      <c r="Y50" s="460"/>
      <c r="Z50" s="463">
        <f>SUM(Z48:Z49,Z46,Z44,Z41,Z40,Z38,Z36)/7</f>
        <v>59.428571428571431</v>
      </c>
      <c r="AA50" s="528">
        <f>SUM(AA36,AA38,AA40,AA41,AA44,AA46,AA48)/7</f>
        <v>10.714285714285714</v>
      </c>
      <c r="AB50" s="457"/>
      <c r="AC50" s="463">
        <f>SUM(AC38,AC40,AC41,AC46,AC48)/5</f>
        <v>54</v>
      </c>
      <c r="AD50" s="530">
        <f>SUM(AD48,AD46,AD44,AD41,AD40)/5</f>
        <v>11.2</v>
      </c>
      <c r="AE50" s="529">
        <f>SUM(AE48,AE46,AE44,AE42,AE38,AE36)/5</f>
        <v>50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332</v>
      </c>
      <c r="G52" s="116"/>
      <c r="H52" s="157">
        <f>SUM(H50,H34,H28)</f>
        <v>8278</v>
      </c>
      <c r="I52" s="250">
        <f>SUM(I50,I34,I28)</f>
        <v>702</v>
      </c>
      <c r="J52" s="114"/>
      <c r="K52" s="384">
        <f>SUM(K50,K34,K28)</f>
        <v>-420</v>
      </c>
      <c r="L52" s="531">
        <f>SUM(K52/A52*100)</f>
        <v>-4.828696252011957</v>
      </c>
      <c r="M52" s="385">
        <f>SUM(M50,M34,M28)</f>
        <v>8264</v>
      </c>
      <c r="N52" s="375">
        <f>SUM(N50,N34,N28)</f>
        <v>14</v>
      </c>
      <c r="O52" s="112"/>
      <c r="P52" s="157">
        <f>SUM(P50,P34,P28)</f>
        <v>171</v>
      </c>
      <c r="Q52" s="159">
        <f>SUM(Q50,Q34,Q28)</f>
        <v>43</v>
      </c>
      <c r="R52" s="526"/>
      <c r="S52" s="159">
        <f>SUM(S50,S34,S28)</f>
        <v>268</v>
      </c>
      <c r="T52" s="159">
        <f>SUM(T50,T34,T28)</f>
        <v>0</v>
      </c>
      <c r="U52" s="159">
        <f>SUM(U50,U34,U28)</f>
        <v>286</v>
      </c>
      <c r="V52" s="159">
        <f>SUM(V50,V34,V28)</f>
        <v>0</v>
      </c>
      <c r="W52" s="526"/>
      <c r="X52" s="158">
        <f>SUM(X50,X34,X28)</f>
        <v>51</v>
      </c>
      <c r="Y52" s="112"/>
      <c r="Z52" s="248">
        <f>SUM(Z50,Z34,Z28)/3</f>
        <v>68.526190476190479</v>
      </c>
      <c r="AA52" s="250">
        <f>SUM(AA50,AA34,AA28)/3</f>
        <v>16.004761904761907</v>
      </c>
      <c r="AB52" s="527">
        <f t="shared" ref="AB52:AE52" si="5">SUM(AB50,AB34,AB28)/3</f>
        <v>0</v>
      </c>
      <c r="AC52" s="248">
        <f t="shared" si="5"/>
        <v>55.203703703703702</v>
      </c>
      <c r="AD52" s="249">
        <f t="shared" si="5"/>
        <v>11.733333333333334</v>
      </c>
      <c r="AE52" s="250">
        <f t="shared" si="5"/>
        <v>63.050000000000004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540" t="s">
        <v>0</v>
      </c>
      <c r="AD53" s="540"/>
      <c r="AE53" s="54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7" t="s">
        <v>33</v>
      </c>
      <c r="L54" s="697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9387-C650-4DAE-9644-963BCD10F19C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F55" sqref="F55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3.33203125" style="161" bestFit="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87.75" customHeight="1" x14ac:dyDescent="0.2">
      <c r="A1" s="160"/>
    </row>
    <row r="2" spans="1:34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4"/>
      <c r="L2" s="164"/>
      <c r="M2" s="357"/>
      <c r="N2" s="357"/>
      <c r="O2" s="163"/>
      <c r="P2" s="164"/>
      <c r="Q2" s="164"/>
      <c r="R2" s="164"/>
      <c r="S2" s="164"/>
      <c r="T2" s="164"/>
      <c r="U2" s="164"/>
      <c r="V2" s="164"/>
      <c r="W2" s="164"/>
      <c r="X2" s="164"/>
      <c r="Y2" s="698"/>
      <c r="Z2" s="698"/>
      <c r="AA2" s="698"/>
      <c r="AB2" s="698"/>
      <c r="AC2" s="698"/>
      <c r="AD2" s="698"/>
      <c r="AE2" s="698"/>
      <c r="AF2" s="698"/>
    </row>
    <row r="3" spans="1:34" s="166" customFormat="1" ht="30" customHeight="1" x14ac:dyDescent="0.2">
      <c r="A3" s="358" t="s">
        <v>82</v>
      </c>
      <c r="B3" s="165"/>
      <c r="C3" s="30"/>
      <c r="D3" s="722" t="s">
        <v>61</v>
      </c>
      <c r="E3" s="724" t="s">
        <v>62</v>
      </c>
      <c r="F3" s="725"/>
      <c r="G3" s="31"/>
      <c r="H3" s="726" t="s">
        <v>86</v>
      </c>
      <c r="I3" s="727"/>
      <c r="J3" s="30"/>
      <c r="K3" s="728" t="s">
        <v>36</v>
      </c>
      <c r="L3" s="729"/>
      <c r="M3" s="366" t="s">
        <v>71</v>
      </c>
      <c r="N3" s="719" t="s">
        <v>73</v>
      </c>
      <c r="O3" s="32"/>
      <c r="P3" s="709" t="s">
        <v>69</v>
      </c>
      <c r="Q3" s="710"/>
      <c r="R3" s="710"/>
      <c r="S3" s="710"/>
      <c r="T3" s="710"/>
      <c r="U3" s="710"/>
      <c r="V3" s="710"/>
      <c r="W3" s="710"/>
      <c r="X3" s="711"/>
      <c r="Y3" s="32"/>
      <c r="Z3" s="712" t="s">
        <v>60</v>
      </c>
      <c r="AA3" s="731"/>
      <c r="AB3" s="732"/>
      <c r="AC3" s="732"/>
      <c r="AD3" s="732"/>
      <c r="AE3" s="732"/>
      <c r="AF3" s="30"/>
    </row>
    <row r="4" spans="1:34" s="166" customFormat="1" ht="38.25" x14ac:dyDescent="0.2">
      <c r="A4" s="167" t="s">
        <v>19</v>
      </c>
      <c r="B4" s="168" t="s">
        <v>45</v>
      </c>
      <c r="C4" s="169"/>
      <c r="D4" s="723"/>
      <c r="E4" s="387" t="s">
        <v>76</v>
      </c>
      <c r="F4" s="387" t="s">
        <v>85</v>
      </c>
      <c r="G4" s="170"/>
      <c r="H4" s="171" t="s">
        <v>20</v>
      </c>
      <c r="I4" s="168" t="s">
        <v>45</v>
      </c>
      <c r="J4" s="172"/>
      <c r="K4" s="173" t="s">
        <v>37</v>
      </c>
      <c r="L4" s="174" t="s">
        <v>18</v>
      </c>
      <c r="M4" s="367" t="s">
        <v>74</v>
      </c>
      <c r="N4" s="730"/>
      <c r="O4" s="175"/>
      <c r="P4" s="46" t="s">
        <v>21</v>
      </c>
      <c r="Q4" s="176" t="s">
        <v>22</v>
      </c>
      <c r="R4" s="177" t="s">
        <v>23</v>
      </c>
      <c r="S4" s="48" t="s">
        <v>24</v>
      </c>
      <c r="T4" s="176" t="s">
        <v>25</v>
      </c>
      <c r="U4" s="48" t="s">
        <v>26</v>
      </c>
      <c r="V4" s="176" t="s">
        <v>27</v>
      </c>
      <c r="W4" s="134" t="s">
        <v>28</v>
      </c>
      <c r="X4" s="49" t="s">
        <v>29</v>
      </c>
      <c r="Y4" s="175"/>
      <c r="Z4" s="178" t="s">
        <v>55</v>
      </c>
      <c r="AA4" s="178" t="s">
        <v>47</v>
      </c>
      <c r="AB4" s="172"/>
      <c r="AC4" s="178" t="s">
        <v>56</v>
      </c>
      <c r="AD4" s="178" t="s">
        <v>46</v>
      </c>
      <c r="AE4" s="178" t="s">
        <v>57</v>
      </c>
      <c r="AF4" s="172"/>
    </row>
    <row r="5" spans="1:34" s="166" customFormat="1" ht="13.5" thickBot="1" x14ac:dyDescent="0.25">
      <c r="A5" s="33"/>
      <c r="B5" s="169"/>
      <c r="C5" s="169"/>
      <c r="D5" s="170"/>
      <c r="E5" s="169"/>
      <c r="F5" s="170"/>
      <c r="G5" s="170"/>
      <c r="H5" s="172"/>
      <c r="I5" s="172"/>
      <c r="J5" s="172"/>
      <c r="K5" s="179"/>
      <c r="L5" s="180"/>
      <c r="M5" s="359"/>
      <c r="N5" s="359"/>
      <c r="O5" s="360"/>
      <c r="P5" s="24"/>
      <c r="Q5" s="181"/>
      <c r="R5" s="181"/>
      <c r="S5" s="23"/>
      <c r="T5" s="181"/>
      <c r="U5" s="23"/>
      <c r="V5" s="181"/>
      <c r="W5" s="23"/>
      <c r="X5" s="25"/>
      <c r="Y5" s="175"/>
      <c r="Z5" s="170"/>
      <c r="AA5" s="170"/>
      <c r="AB5" s="172"/>
      <c r="AC5" s="169"/>
      <c r="AD5" s="169"/>
      <c r="AE5" s="169"/>
      <c r="AF5" s="172"/>
    </row>
    <row r="6" spans="1:34" ht="21.75" customHeight="1" x14ac:dyDescent="0.2">
      <c r="A6" s="501">
        <v>206</v>
      </c>
      <c r="B6" s="542">
        <v>35</v>
      </c>
      <c r="C6" s="416"/>
      <c r="D6" s="543" t="s">
        <v>1</v>
      </c>
      <c r="E6" s="467">
        <v>9</v>
      </c>
      <c r="F6" s="467">
        <v>9</v>
      </c>
      <c r="G6" s="420"/>
      <c r="H6" s="502">
        <v>197</v>
      </c>
      <c r="I6" s="542">
        <v>33</v>
      </c>
      <c r="J6" s="423"/>
      <c r="K6" s="544">
        <f t="shared" ref="K6:K24" si="0">H6-A6</f>
        <v>-9</v>
      </c>
      <c r="L6" s="545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546">
        <v>0</v>
      </c>
      <c r="R6" s="476"/>
      <c r="S6" s="547">
        <v>4</v>
      </c>
      <c r="T6" s="546">
        <v>0</v>
      </c>
      <c r="U6" s="548">
        <v>6</v>
      </c>
      <c r="V6" s="546">
        <v>0</v>
      </c>
      <c r="W6" s="476"/>
      <c r="X6" s="549">
        <v>0</v>
      </c>
      <c r="Y6" s="426"/>
      <c r="Z6" s="481">
        <v>74</v>
      </c>
      <c r="AA6" s="542">
        <v>22</v>
      </c>
      <c r="AB6" s="423"/>
      <c r="AC6" s="550">
        <v>44</v>
      </c>
      <c r="AD6" s="551">
        <v>9</v>
      </c>
      <c r="AE6" s="552">
        <v>56</v>
      </c>
      <c r="AF6" s="187"/>
      <c r="AH6" s="195" t="s">
        <v>0</v>
      </c>
    </row>
    <row r="7" spans="1:34" ht="21.75" customHeight="1" x14ac:dyDescent="0.2">
      <c r="A7" s="509">
        <v>442</v>
      </c>
      <c r="B7" s="196">
        <v>38</v>
      </c>
      <c r="C7" s="183"/>
      <c r="D7" s="197" t="s">
        <v>2</v>
      </c>
      <c r="E7" s="145">
        <v>15</v>
      </c>
      <c r="F7" s="145">
        <v>15</v>
      </c>
      <c r="G7" s="186"/>
      <c r="H7" s="44">
        <v>418</v>
      </c>
      <c r="I7" s="196">
        <v>37</v>
      </c>
      <c r="J7" s="187"/>
      <c r="K7" s="199">
        <f t="shared" si="0"/>
        <v>-24</v>
      </c>
      <c r="L7" s="200">
        <f t="shared" si="1"/>
        <v>-5.4298642533936654</v>
      </c>
      <c r="M7" s="389">
        <f t="shared" si="2"/>
        <v>418</v>
      </c>
      <c r="N7" s="371">
        <f t="shared" si="3"/>
        <v>0</v>
      </c>
      <c r="O7" s="175"/>
      <c r="P7" s="38">
        <v>4</v>
      </c>
      <c r="Q7" s="201">
        <v>2</v>
      </c>
      <c r="R7" s="202"/>
      <c r="S7" s="203">
        <v>13</v>
      </c>
      <c r="T7" s="201">
        <v>0</v>
      </c>
      <c r="U7" s="204">
        <v>14</v>
      </c>
      <c r="V7" s="201">
        <v>0</v>
      </c>
      <c r="W7" s="202"/>
      <c r="X7" s="205">
        <v>1</v>
      </c>
      <c r="Y7" s="175"/>
      <c r="Z7" s="553">
        <v>70</v>
      </c>
      <c r="AA7" s="196">
        <v>19</v>
      </c>
      <c r="AB7" s="187"/>
      <c r="AC7" s="198">
        <v>60</v>
      </c>
      <c r="AD7" s="206">
        <v>9</v>
      </c>
      <c r="AE7" s="554">
        <v>57</v>
      </c>
      <c r="AF7" s="187"/>
    </row>
    <row r="8" spans="1:34" ht="21.75" customHeight="1" x14ac:dyDescent="0.2">
      <c r="A8" s="509">
        <v>257</v>
      </c>
      <c r="B8" s="196">
        <v>14</v>
      </c>
      <c r="C8" s="183"/>
      <c r="D8" s="197" t="s">
        <v>34</v>
      </c>
      <c r="E8" s="145">
        <v>9</v>
      </c>
      <c r="F8" s="145">
        <v>9</v>
      </c>
      <c r="G8" s="186"/>
      <c r="H8" s="44">
        <v>251</v>
      </c>
      <c r="I8" s="196">
        <v>13</v>
      </c>
      <c r="J8" s="187"/>
      <c r="K8" s="199">
        <f t="shared" si="0"/>
        <v>-6</v>
      </c>
      <c r="L8" s="200">
        <f t="shared" si="1"/>
        <v>-2.3346303501945527</v>
      </c>
      <c r="M8" s="389">
        <f t="shared" si="2"/>
        <v>252</v>
      </c>
      <c r="N8" s="371">
        <f t="shared" si="3"/>
        <v>-1</v>
      </c>
      <c r="O8" s="175"/>
      <c r="P8" s="38">
        <v>6</v>
      </c>
      <c r="Q8" s="201">
        <v>0</v>
      </c>
      <c r="R8" s="202"/>
      <c r="S8" s="207">
        <v>3</v>
      </c>
      <c r="T8" s="201">
        <v>0</v>
      </c>
      <c r="U8" s="204">
        <v>8</v>
      </c>
      <c r="V8" s="201">
        <v>0</v>
      </c>
      <c r="W8" s="202"/>
      <c r="X8" s="205">
        <v>0</v>
      </c>
      <c r="Y8" s="175"/>
      <c r="Z8" s="553">
        <v>71</v>
      </c>
      <c r="AA8" s="196">
        <v>23</v>
      </c>
      <c r="AB8" s="187"/>
      <c r="AC8" s="267">
        <v>49</v>
      </c>
      <c r="AD8" s="206">
        <v>12</v>
      </c>
      <c r="AE8" s="554">
        <v>59</v>
      </c>
      <c r="AF8" s="187"/>
    </row>
    <row r="9" spans="1:34" ht="21.75" customHeight="1" x14ac:dyDescent="0.2">
      <c r="A9" s="509">
        <v>158</v>
      </c>
      <c r="B9" s="196">
        <v>30</v>
      </c>
      <c r="C9" s="183"/>
      <c r="D9" s="197" t="s">
        <v>35</v>
      </c>
      <c r="E9" s="145">
        <v>7</v>
      </c>
      <c r="F9" s="145">
        <v>7</v>
      </c>
      <c r="G9" s="186"/>
      <c r="H9" s="44">
        <v>150</v>
      </c>
      <c r="I9" s="196">
        <v>27</v>
      </c>
      <c r="J9" s="187"/>
      <c r="K9" s="199">
        <f t="shared" si="0"/>
        <v>-8</v>
      </c>
      <c r="L9" s="200">
        <f t="shared" si="1"/>
        <v>-5.0632911392405067</v>
      </c>
      <c r="M9" s="389">
        <f t="shared" si="2"/>
        <v>150</v>
      </c>
      <c r="N9" s="371">
        <f t="shared" si="3"/>
        <v>0</v>
      </c>
      <c r="O9" s="175"/>
      <c r="P9" s="38">
        <v>1</v>
      </c>
      <c r="Q9" s="201">
        <v>0</v>
      </c>
      <c r="R9" s="202"/>
      <c r="S9" s="207">
        <v>0</v>
      </c>
      <c r="T9" s="201">
        <v>0</v>
      </c>
      <c r="U9" s="204">
        <v>9</v>
      </c>
      <c r="V9" s="201">
        <v>0</v>
      </c>
      <c r="W9" s="202"/>
      <c r="X9" s="205">
        <v>0</v>
      </c>
      <c r="Y9" s="175"/>
      <c r="Z9" s="553">
        <v>70</v>
      </c>
      <c r="AA9" s="196">
        <v>20</v>
      </c>
      <c r="AB9" s="187"/>
      <c r="AC9" s="198">
        <v>61</v>
      </c>
      <c r="AD9" s="208">
        <v>0</v>
      </c>
      <c r="AE9" s="555">
        <v>0</v>
      </c>
      <c r="AF9" s="187"/>
    </row>
    <row r="10" spans="1:34" ht="21.75" customHeight="1" x14ac:dyDescent="0.2">
      <c r="A10" s="509">
        <v>326</v>
      </c>
      <c r="B10" s="196">
        <v>27</v>
      </c>
      <c r="C10" s="183"/>
      <c r="D10" s="197" t="s">
        <v>3</v>
      </c>
      <c r="E10" s="145">
        <v>10</v>
      </c>
      <c r="F10" s="145">
        <v>10</v>
      </c>
      <c r="G10" s="186"/>
      <c r="H10" s="44">
        <v>304</v>
      </c>
      <c r="I10" s="196">
        <v>27</v>
      </c>
      <c r="J10" s="187"/>
      <c r="K10" s="199">
        <f t="shared" si="0"/>
        <v>-22</v>
      </c>
      <c r="L10" s="200">
        <f t="shared" si="1"/>
        <v>-6.7484662576687118</v>
      </c>
      <c r="M10" s="389">
        <f t="shared" si="2"/>
        <v>305</v>
      </c>
      <c r="N10" s="371">
        <f t="shared" si="3"/>
        <v>-1</v>
      </c>
      <c r="O10" s="175"/>
      <c r="P10" s="38">
        <v>2</v>
      </c>
      <c r="Q10" s="201">
        <v>1</v>
      </c>
      <c r="R10" s="202"/>
      <c r="S10" s="203">
        <v>4</v>
      </c>
      <c r="T10" s="201">
        <v>0</v>
      </c>
      <c r="U10" s="204">
        <v>15</v>
      </c>
      <c r="V10" s="201">
        <v>0</v>
      </c>
      <c r="W10" s="202"/>
      <c r="X10" s="205">
        <v>4</v>
      </c>
      <c r="Y10" s="175"/>
      <c r="Z10" s="553">
        <v>72</v>
      </c>
      <c r="AA10" s="196">
        <v>21</v>
      </c>
      <c r="AB10" s="187"/>
      <c r="AC10" s="198">
        <v>46</v>
      </c>
      <c r="AD10" s="206">
        <v>15</v>
      </c>
      <c r="AE10" s="554">
        <v>61</v>
      </c>
      <c r="AF10" s="187"/>
    </row>
    <row r="11" spans="1:34" ht="21.75" customHeight="1" x14ac:dyDescent="0.2">
      <c r="A11" s="509">
        <v>308</v>
      </c>
      <c r="B11" s="196">
        <v>35</v>
      </c>
      <c r="C11" s="183"/>
      <c r="D11" s="197" t="s">
        <v>4</v>
      </c>
      <c r="E11" s="145">
        <v>16</v>
      </c>
      <c r="F11" s="145">
        <v>16</v>
      </c>
      <c r="G11" s="186"/>
      <c r="H11" s="44">
        <v>284</v>
      </c>
      <c r="I11" s="196">
        <v>31</v>
      </c>
      <c r="J11" s="187"/>
      <c r="K11" s="199">
        <f t="shared" si="0"/>
        <v>-24</v>
      </c>
      <c r="L11" s="200">
        <f t="shared" si="1"/>
        <v>-7.7922077922077921</v>
      </c>
      <c r="M11" s="389">
        <f t="shared" si="2"/>
        <v>283</v>
      </c>
      <c r="N11" s="371">
        <f t="shared" si="3"/>
        <v>1</v>
      </c>
      <c r="O11" s="175"/>
      <c r="P11" s="38">
        <v>0</v>
      </c>
      <c r="Q11" s="201">
        <v>0</v>
      </c>
      <c r="R11" s="202"/>
      <c r="S11" s="207">
        <v>11</v>
      </c>
      <c r="T11" s="201">
        <v>0</v>
      </c>
      <c r="U11" s="210">
        <v>13</v>
      </c>
      <c r="V11" s="201">
        <v>0</v>
      </c>
      <c r="W11" s="202"/>
      <c r="X11" s="205">
        <v>1</v>
      </c>
      <c r="Y11" s="175"/>
      <c r="Z11" s="553">
        <v>72</v>
      </c>
      <c r="AA11" s="196">
        <v>23</v>
      </c>
      <c r="AB11" s="187"/>
      <c r="AC11" s="268">
        <v>0</v>
      </c>
      <c r="AD11" s="201">
        <v>18</v>
      </c>
      <c r="AE11" s="556">
        <v>66</v>
      </c>
      <c r="AF11" s="187"/>
    </row>
    <row r="12" spans="1:34" ht="21.75" customHeight="1" x14ac:dyDescent="0.2">
      <c r="A12" s="509">
        <v>669</v>
      </c>
      <c r="B12" s="196">
        <v>46</v>
      </c>
      <c r="C12" s="183"/>
      <c r="D12" s="197" t="s">
        <v>5</v>
      </c>
      <c r="E12" s="145">
        <v>22</v>
      </c>
      <c r="F12" s="145">
        <v>22</v>
      </c>
      <c r="G12" s="186"/>
      <c r="H12" s="44">
        <v>642</v>
      </c>
      <c r="I12" s="196">
        <v>48</v>
      </c>
      <c r="J12" s="187"/>
      <c r="K12" s="199">
        <f t="shared" si="0"/>
        <v>-27</v>
      </c>
      <c r="L12" s="200">
        <f t="shared" si="1"/>
        <v>-4.0358744394618835</v>
      </c>
      <c r="M12" s="389">
        <f t="shared" si="2"/>
        <v>641</v>
      </c>
      <c r="N12" s="371">
        <f t="shared" si="3"/>
        <v>1</v>
      </c>
      <c r="O12" s="175"/>
      <c r="P12" s="38">
        <v>2</v>
      </c>
      <c r="Q12" s="201">
        <v>2</v>
      </c>
      <c r="R12" s="202"/>
      <c r="S12" s="203">
        <v>7</v>
      </c>
      <c r="T12" s="201">
        <v>0</v>
      </c>
      <c r="U12" s="204">
        <v>19</v>
      </c>
      <c r="V12" s="201">
        <v>0</v>
      </c>
      <c r="W12" s="202"/>
      <c r="X12" s="205">
        <v>4</v>
      </c>
      <c r="Y12" s="175"/>
      <c r="Z12" s="553">
        <v>71</v>
      </c>
      <c r="AA12" s="196">
        <v>23</v>
      </c>
      <c r="AB12" s="187"/>
      <c r="AC12" s="211">
        <v>45</v>
      </c>
      <c r="AD12" s="206">
        <v>16</v>
      </c>
      <c r="AE12" s="554">
        <v>65</v>
      </c>
      <c r="AF12" s="187"/>
    </row>
    <row r="13" spans="1:34" ht="21.75" customHeight="1" x14ac:dyDescent="0.2">
      <c r="A13" s="509">
        <v>309</v>
      </c>
      <c r="B13" s="196">
        <v>30</v>
      </c>
      <c r="C13" s="183"/>
      <c r="D13" s="197" t="s">
        <v>6</v>
      </c>
      <c r="E13" s="145">
        <v>13</v>
      </c>
      <c r="F13" s="145">
        <v>13</v>
      </c>
      <c r="G13" s="186"/>
      <c r="H13" s="44">
        <v>298</v>
      </c>
      <c r="I13" s="196">
        <v>29</v>
      </c>
      <c r="J13" s="187"/>
      <c r="K13" s="199">
        <f t="shared" si="0"/>
        <v>-11</v>
      </c>
      <c r="L13" s="200">
        <f t="shared" si="1"/>
        <v>-3.5598705501618122</v>
      </c>
      <c r="M13" s="389">
        <f t="shared" si="2"/>
        <v>299</v>
      </c>
      <c r="N13" s="371">
        <f t="shared" si="3"/>
        <v>-1</v>
      </c>
      <c r="O13" s="175"/>
      <c r="P13" s="38">
        <v>2</v>
      </c>
      <c r="Q13" s="201">
        <v>0</v>
      </c>
      <c r="R13" s="202"/>
      <c r="S13" s="207">
        <v>7</v>
      </c>
      <c r="T13" s="201">
        <v>0</v>
      </c>
      <c r="U13" s="204">
        <v>5</v>
      </c>
      <c r="V13" s="201">
        <v>0</v>
      </c>
      <c r="W13" s="202"/>
      <c r="X13" s="205">
        <v>0</v>
      </c>
      <c r="Y13" s="175"/>
      <c r="Z13" s="553">
        <v>71</v>
      </c>
      <c r="AA13" s="196">
        <v>23</v>
      </c>
      <c r="AB13" s="187"/>
      <c r="AC13" s="198">
        <v>56</v>
      </c>
      <c r="AD13" s="206">
        <v>11</v>
      </c>
      <c r="AE13" s="554">
        <v>62</v>
      </c>
      <c r="AF13" s="187"/>
    </row>
    <row r="14" spans="1:34" ht="21.75" customHeight="1" x14ac:dyDescent="0.2">
      <c r="A14" s="509">
        <v>588</v>
      </c>
      <c r="B14" s="196">
        <v>52</v>
      </c>
      <c r="C14" s="183"/>
      <c r="D14" s="197" t="s">
        <v>7</v>
      </c>
      <c r="E14" s="145">
        <v>18</v>
      </c>
      <c r="F14" s="145">
        <v>18</v>
      </c>
      <c r="G14" s="186"/>
      <c r="H14" s="44">
        <v>587</v>
      </c>
      <c r="I14" s="196">
        <v>54</v>
      </c>
      <c r="J14" s="187"/>
      <c r="K14" s="557">
        <f t="shared" si="0"/>
        <v>-1</v>
      </c>
      <c r="L14" s="558">
        <f t="shared" si="1"/>
        <v>-0.17006802721088435</v>
      </c>
      <c r="M14" s="389">
        <f t="shared" si="2"/>
        <v>582</v>
      </c>
      <c r="N14" s="371">
        <f t="shared" si="3"/>
        <v>5</v>
      </c>
      <c r="O14" s="175"/>
      <c r="P14" s="38">
        <v>19</v>
      </c>
      <c r="Q14" s="201">
        <v>2</v>
      </c>
      <c r="R14" s="202"/>
      <c r="S14" s="203">
        <v>11</v>
      </c>
      <c r="T14" s="201">
        <v>0</v>
      </c>
      <c r="U14" s="204">
        <v>13</v>
      </c>
      <c r="V14" s="201">
        <v>0</v>
      </c>
      <c r="W14" s="202"/>
      <c r="X14" s="205">
        <v>1</v>
      </c>
      <c r="Y14" s="175"/>
      <c r="Z14" s="553">
        <v>70</v>
      </c>
      <c r="AA14" s="196">
        <v>19</v>
      </c>
      <c r="AB14" s="187"/>
      <c r="AC14" s="198">
        <v>53</v>
      </c>
      <c r="AD14" s="201">
        <v>10</v>
      </c>
      <c r="AE14" s="556">
        <v>61</v>
      </c>
      <c r="AF14" s="187"/>
    </row>
    <row r="15" spans="1:34" ht="21.75" customHeight="1" x14ac:dyDescent="0.2">
      <c r="A15" s="509">
        <v>333</v>
      </c>
      <c r="B15" s="196">
        <v>37</v>
      </c>
      <c r="C15" s="183"/>
      <c r="D15" s="197" t="s">
        <v>8</v>
      </c>
      <c r="E15" s="145">
        <v>14</v>
      </c>
      <c r="F15" s="145">
        <v>14</v>
      </c>
      <c r="G15" s="186"/>
      <c r="H15" s="44">
        <v>313</v>
      </c>
      <c r="I15" s="196">
        <v>27</v>
      </c>
      <c r="J15" s="187"/>
      <c r="K15" s="199">
        <f t="shared" si="0"/>
        <v>-20</v>
      </c>
      <c r="L15" s="200">
        <f t="shared" si="1"/>
        <v>-6.0060060060060056</v>
      </c>
      <c r="M15" s="389">
        <f t="shared" si="2"/>
        <v>315</v>
      </c>
      <c r="N15" s="371">
        <f t="shared" si="3"/>
        <v>-2</v>
      </c>
      <c r="O15" s="175"/>
      <c r="P15" s="38">
        <v>1</v>
      </c>
      <c r="Q15" s="201">
        <v>0</v>
      </c>
      <c r="R15" s="202"/>
      <c r="S15" s="207">
        <v>7</v>
      </c>
      <c r="T15" s="201">
        <v>0</v>
      </c>
      <c r="U15" s="204">
        <v>10</v>
      </c>
      <c r="V15" s="201">
        <v>0</v>
      </c>
      <c r="W15" s="202"/>
      <c r="X15" s="205">
        <v>2</v>
      </c>
      <c r="Y15" s="175"/>
      <c r="Z15" s="553">
        <v>72</v>
      </c>
      <c r="AA15" s="196">
        <v>25</v>
      </c>
      <c r="AB15" s="187"/>
      <c r="AC15" s="198">
        <v>81</v>
      </c>
      <c r="AD15" s="206">
        <v>14</v>
      </c>
      <c r="AE15" s="554">
        <v>64</v>
      </c>
      <c r="AF15" s="187"/>
    </row>
    <row r="16" spans="1:34" ht="21.75" customHeight="1" x14ac:dyDescent="0.2">
      <c r="A16" s="509">
        <v>487</v>
      </c>
      <c r="B16" s="196">
        <v>28</v>
      </c>
      <c r="C16" s="183"/>
      <c r="D16" s="197" t="s">
        <v>9</v>
      </c>
      <c r="E16" s="145">
        <v>16</v>
      </c>
      <c r="F16" s="145">
        <v>16</v>
      </c>
      <c r="G16" s="186"/>
      <c r="H16" s="44">
        <v>469</v>
      </c>
      <c r="I16" s="196">
        <v>26</v>
      </c>
      <c r="J16" s="187"/>
      <c r="K16" s="199">
        <f t="shared" si="0"/>
        <v>-18</v>
      </c>
      <c r="L16" s="200">
        <f t="shared" si="1"/>
        <v>-3.6960985626283369</v>
      </c>
      <c r="M16" s="389">
        <f t="shared" si="2"/>
        <v>468</v>
      </c>
      <c r="N16" s="371">
        <f t="shared" si="3"/>
        <v>1</v>
      </c>
      <c r="O16" s="175"/>
      <c r="P16" s="38">
        <v>11</v>
      </c>
      <c r="Q16" s="201">
        <v>0</v>
      </c>
      <c r="R16" s="202"/>
      <c r="S16" s="207">
        <v>13</v>
      </c>
      <c r="T16" s="201">
        <v>0</v>
      </c>
      <c r="U16" s="210">
        <v>13</v>
      </c>
      <c r="V16" s="201">
        <v>0</v>
      </c>
      <c r="W16" s="202"/>
      <c r="X16" s="205">
        <v>4</v>
      </c>
      <c r="Y16" s="175"/>
      <c r="Z16" s="553">
        <v>73</v>
      </c>
      <c r="AA16" s="196">
        <v>21</v>
      </c>
      <c r="AB16" s="187"/>
      <c r="AC16" s="198">
        <v>62</v>
      </c>
      <c r="AD16" s="206">
        <v>14</v>
      </c>
      <c r="AE16" s="554">
        <v>63</v>
      </c>
      <c r="AF16" s="187"/>
    </row>
    <row r="17" spans="1:35" ht="21.75" customHeight="1" x14ac:dyDescent="0.2">
      <c r="A17" s="509">
        <v>394</v>
      </c>
      <c r="B17" s="196">
        <v>39</v>
      </c>
      <c r="C17" s="183"/>
      <c r="D17" s="197" t="s">
        <v>10</v>
      </c>
      <c r="E17" s="145">
        <v>14</v>
      </c>
      <c r="F17" s="145">
        <v>14</v>
      </c>
      <c r="G17" s="186"/>
      <c r="H17" s="44">
        <v>383</v>
      </c>
      <c r="I17" s="196">
        <v>40</v>
      </c>
      <c r="J17" s="187"/>
      <c r="K17" s="199">
        <f t="shared" si="0"/>
        <v>-11</v>
      </c>
      <c r="L17" s="200">
        <f t="shared" si="1"/>
        <v>-2.7918781725888326</v>
      </c>
      <c r="M17" s="389">
        <f t="shared" si="2"/>
        <v>382</v>
      </c>
      <c r="N17" s="371">
        <f t="shared" si="3"/>
        <v>1</v>
      </c>
      <c r="O17" s="175"/>
      <c r="P17" s="38">
        <v>4</v>
      </c>
      <c r="Q17" s="201">
        <v>1</v>
      </c>
      <c r="R17" s="202"/>
      <c r="S17" s="207">
        <v>9</v>
      </c>
      <c r="T17" s="201">
        <v>0</v>
      </c>
      <c r="U17" s="204">
        <v>6</v>
      </c>
      <c r="V17" s="201">
        <v>0</v>
      </c>
      <c r="W17" s="202"/>
      <c r="X17" s="205">
        <v>1</v>
      </c>
      <c r="Y17" s="175"/>
      <c r="Z17" s="553">
        <v>72</v>
      </c>
      <c r="AA17" s="196">
        <v>21</v>
      </c>
      <c r="AB17" s="187"/>
      <c r="AC17" s="211">
        <v>49</v>
      </c>
      <c r="AD17" s="201">
        <v>20</v>
      </c>
      <c r="AE17" s="556">
        <v>63</v>
      </c>
      <c r="AF17" s="187"/>
    </row>
    <row r="18" spans="1:35" ht="21.75" customHeight="1" x14ac:dyDescent="0.2">
      <c r="A18" s="509">
        <v>181</v>
      </c>
      <c r="B18" s="196">
        <v>20</v>
      </c>
      <c r="C18" s="183"/>
      <c r="D18" s="197" t="s">
        <v>11</v>
      </c>
      <c r="E18" s="145">
        <v>7</v>
      </c>
      <c r="F18" s="145">
        <v>7</v>
      </c>
      <c r="G18" s="186"/>
      <c r="H18" s="44">
        <v>170</v>
      </c>
      <c r="I18" s="196">
        <v>19</v>
      </c>
      <c r="J18" s="187"/>
      <c r="K18" s="199">
        <f t="shared" si="0"/>
        <v>-11</v>
      </c>
      <c r="L18" s="200">
        <f t="shared" si="1"/>
        <v>-6.0773480662983426</v>
      </c>
      <c r="M18" s="389">
        <f t="shared" si="2"/>
        <v>172</v>
      </c>
      <c r="N18" s="371">
        <f t="shared" si="3"/>
        <v>-2</v>
      </c>
      <c r="O18" s="175"/>
      <c r="P18" s="38">
        <v>0</v>
      </c>
      <c r="Q18" s="201">
        <v>0</v>
      </c>
      <c r="R18" s="202"/>
      <c r="S18" s="203">
        <v>5</v>
      </c>
      <c r="T18" s="201">
        <v>0</v>
      </c>
      <c r="U18" s="204">
        <v>2</v>
      </c>
      <c r="V18" s="201">
        <v>0</v>
      </c>
      <c r="W18" s="202"/>
      <c r="X18" s="205">
        <v>2</v>
      </c>
      <c r="Y18" s="175"/>
      <c r="Z18" s="553">
        <v>72</v>
      </c>
      <c r="AA18" s="196">
        <v>20</v>
      </c>
      <c r="AB18" s="187"/>
      <c r="AC18" s="559">
        <v>0</v>
      </c>
      <c r="AD18" s="201">
        <v>9</v>
      </c>
      <c r="AE18" s="556">
        <v>73</v>
      </c>
      <c r="AF18" s="187"/>
    </row>
    <row r="19" spans="1:35" ht="21.75" customHeight="1" x14ac:dyDescent="0.2">
      <c r="A19" s="509">
        <v>418</v>
      </c>
      <c r="B19" s="196">
        <v>31</v>
      </c>
      <c r="C19" s="183"/>
      <c r="D19" s="197" t="s">
        <v>12</v>
      </c>
      <c r="E19" s="145">
        <v>13</v>
      </c>
      <c r="F19" s="145">
        <v>13</v>
      </c>
      <c r="G19" s="186"/>
      <c r="H19" s="44">
        <v>394</v>
      </c>
      <c r="I19" s="196">
        <v>27</v>
      </c>
      <c r="J19" s="187"/>
      <c r="K19" s="199">
        <f t="shared" si="0"/>
        <v>-24</v>
      </c>
      <c r="L19" s="200">
        <f t="shared" si="1"/>
        <v>-5.741626794258373</v>
      </c>
      <c r="M19" s="389">
        <f t="shared" si="2"/>
        <v>392</v>
      </c>
      <c r="N19" s="371">
        <f t="shared" si="3"/>
        <v>2</v>
      </c>
      <c r="O19" s="175"/>
      <c r="P19" s="38">
        <v>2</v>
      </c>
      <c r="Q19" s="201">
        <v>1</v>
      </c>
      <c r="R19" s="202"/>
      <c r="S19" s="203">
        <v>7</v>
      </c>
      <c r="T19" s="201">
        <v>0</v>
      </c>
      <c r="U19" s="204">
        <v>13</v>
      </c>
      <c r="V19" s="201">
        <v>0</v>
      </c>
      <c r="W19" s="202"/>
      <c r="X19" s="205">
        <v>8</v>
      </c>
      <c r="Y19" s="175"/>
      <c r="Z19" s="553">
        <v>69</v>
      </c>
      <c r="AA19" s="196">
        <v>20</v>
      </c>
      <c r="AB19" s="187"/>
      <c r="AC19" s="268">
        <v>41</v>
      </c>
      <c r="AD19" s="201">
        <v>19</v>
      </c>
      <c r="AE19" s="556">
        <v>72</v>
      </c>
      <c r="AF19" s="187"/>
    </row>
    <row r="20" spans="1:35" ht="21.75" customHeight="1" x14ac:dyDescent="0.2">
      <c r="A20" s="509">
        <v>299</v>
      </c>
      <c r="B20" s="196">
        <v>17</v>
      </c>
      <c r="C20" s="183"/>
      <c r="D20" s="197" t="s">
        <v>13</v>
      </c>
      <c r="E20" s="145">
        <v>10</v>
      </c>
      <c r="F20" s="145">
        <v>10</v>
      </c>
      <c r="G20" s="186"/>
      <c r="H20" s="44">
        <v>289</v>
      </c>
      <c r="I20" s="196">
        <v>9</v>
      </c>
      <c r="J20" s="187"/>
      <c r="K20" s="199">
        <f t="shared" si="0"/>
        <v>-10</v>
      </c>
      <c r="L20" s="200">
        <f t="shared" si="1"/>
        <v>-3.3444816053511706</v>
      </c>
      <c r="M20" s="389">
        <f t="shared" si="2"/>
        <v>288</v>
      </c>
      <c r="N20" s="371">
        <f t="shared" si="3"/>
        <v>1</v>
      </c>
      <c r="O20" s="175"/>
      <c r="P20" s="38">
        <v>2</v>
      </c>
      <c r="Q20" s="201">
        <v>0</v>
      </c>
      <c r="R20" s="202"/>
      <c r="S20" s="203">
        <v>4</v>
      </c>
      <c r="T20" s="201">
        <v>0</v>
      </c>
      <c r="U20" s="204">
        <v>9</v>
      </c>
      <c r="V20" s="201">
        <v>0</v>
      </c>
      <c r="W20" s="202"/>
      <c r="X20" s="205">
        <v>0</v>
      </c>
      <c r="Y20" s="175"/>
      <c r="Z20" s="553">
        <v>71</v>
      </c>
      <c r="AA20" s="196">
        <v>24</v>
      </c>
      <c r="AB20" s="187"/>
      <c r="AC20" s="211">
        <v>58</v>
      </c>
      <c r="AD20" s="201">
        <v>19</v>
      </c>
      <c r="AE20" s="556">
        <v>70</v>
      </c>
      <c r="AF20" s="187"/>
    </row>
    <row r="21" spans="1:35" ht="21.75" customHeight="1" x14ac:dyDescent="0.2">
      <c r="A21" s="509">
        <v>327</v>
      </c>
      <c r="B21" s="196">
        <v>22</v>
      </c>
      <c r="C21" s="183"/>
      <c r="D21" s="197" t="s">
        <v>14</v>
      </c>
      <c r="E21" s="145">
        <v>10</v>
      </c>
      <c r="F21" s="145">
        <v>10</v>
      </c>
      <c r="G21" s="186"/>
      <c r="H21" s="44">
        <v>310</v>
      </c>
      <c r="I21" s="196">
        <v>22</v>
      </c>
      <c r="J21" s="187"/>
      <c r="K21" s="199">
        <f t="shared" si="0"/>
        <v>-17</v>
      </c>
      <c r="L21" s="200">
        <f t="shared" si="1"/>
        <v>-5.1987767584097861</v>
      </c>
      <c r="M21" s="389">
        <f t="shared" si="2"/>
        <v>309</v>
      </c>
      <c r="N21" s="371">
        <f t="shared" si="3"/>
        <v>1</v>
      </c>
      <c r="O21" s="175"/>
      <c r="P21" s="38">
        <v>2</v>
      </c>
      <c r="Q21" s="201">
        <v>0</v>
      </c>
      <c r="R21" s="202"/>
      <c r="S21" s="203">
        <v>10</v>
      </c>
      <c r="T21" s="201">
        <v>0</v>
      </c>
      <c r="U21" s="204">
        <v>9</v>
      </c>
      <c r="V21" s="201">
        <v>0</v>
      </c>
      <c r="W21" s="202"/>
      <c r="X21" s="205">
        <v>1</v>
      </c>
      <c r="Y21" s="175"/>
      <c r="Z21" s="553">
        <v>72</v>
      </c>
      <c r="AA21" s="196">
        <v>22</v>
      </c>
      <c r="AB21" s="187"/>
      <c r="AC21" s="211">
        <v>61</v>
      </c>
      <c r="AD21" s="201">
        <v>18</v>
      </c>
      <c r="AE21" s="556">
        <v>64</v>
      </c>
      <c r="AF21" s="187"/>
    </row>
    <row r="22" spans="1:35" ht="21.75" customHeight="1" x14ac:dyDescent="0.2">
      <c r="A22" s="509">
        <v>274</v>
      </c>
      <c r="B22" s="196">
        <v>26</v>
      </c>
      <c r="C22" s="183"/>
      <c r="D22" s="197" t="s">
        <v>15</v>
      </c>
      <c r="E22" s="145">
        <v>11</v>
      </c>
      <c r="F22" s="145">
        <v>11</v>
      </c>
      <c r="G22" s="186"/>
      <c r="H22" s="44">
        <v>261</v>
      </c>
      <c r="I22" s="196">
        <v>27</v>
      </c>
      <c r="J22" s="187"/>
      <c r="K22" s="199">
        <f t="shared" si="0"/>
        <v>-13</v>
      </c>
      <c r="L22" s="200">
        <f t="shared" si="1"/>
        <v>-4.7445255474452548</v>
      </c>
      <c r="M22" s="389">
        <f t="shared" si="2"/>
        <v>261</v>
      </c>
      <c r="N22" s="371">
        <f t="shared" si="3"/>
        <v>0</v>
      </c>
      <c r="O22" s="175"/>
      <c r="P22" s="38">
        <v>3</v>
      </c>
      <c r="Q22" s="201">
        <v>4</v>
      </c>
      <c r="R22" s="202"/>
      <c r="S22" s="203">
        <v>8</v>
      </c>
      <c r="T22" s="201">
        <v>0</v>
      </c>
      <c r="U22" s="204">
        <v>7</v>
      </c>
      <c r="V22" s="201">
        <v>0</v>
      </c>
      <c r="W22" s="202"/>
      <c r="X22" s="205">
        <v>1</v>
      </c>
      <c r="Y22" s="175"/>
      <c r="Z22" s="553">
        <v>74</v>
      </c>
      <c r="AA22" s="196">
        <v>24</v>
      </c>
      <c r="AB22" s="187"/>
      <c r="AC22" s="211">
        <v>55</v>
      </c>
      <c r="AD22" s="201">
        <v>15</v>
      </c>
      <c r="AE22" s="556">
        <v>71</v>
      </c>
      <c r="AF22" s="187"/>
      <c r="AH22" s="361" t="s">
        <v>0</v>
      </c>
    </row>
    <row r="23" spans="1:35" ht="21.75" customHeight="1" x14ac:dyDescent="0.2">
      <c r="A23" s="509">
        <v>751</v>
      </c>
      <c r="B23" s="196">
        <v>52</v>
      </c>
      <c r="C23" s="183"/>
      <c r="D23" s="197" t="s">
        <v>16</v>
      </c>
      <c r="E23" s="145">
        <v>21</v>
      </c>
      <c r="F23" s="145">
        <v>21</v>
      </c>
      <c r="G23" s="186"/>
      <c r="H23" s="44">
        <v>732</v>
      </c>
      <c r="I23" s="196">
        <v>57</v>
      </c>
      <c r="J23" s="187"/>
      <c r="K23" s="199">
        <f t="shared" si="0"/>
        <v>-19</v>
      </c>
      <c r="L23" s="200">
        <f t="shared" si="1"/>
        <v>-2.5299600532623168</v>
      </c>
      <c r="M23" s="389">
        <f t="shared" si="2"/>
        <v>730</v>
      </c>
      <c r="N23" s="371">
        <f t="shared" si="3"/>
        <v>2</v>
      </c>
      <c r="O23" s="175"/>
      <c r="P23" s="38">
        <v>7</v>
      </c>
      <c r="Q23" s="201">
        <v>1</v>
      </c>
      <c r="R23" s="202"/>
      <c r="S23" s="203">
        <v>8</v>
      </c>
      <c r="T23" s="201">
        <v>0</v>
      </c>
      <c r="U23" s="204">
        <v>17</v>
      </c>
      <c r="V23" s="201">
        <v>0</v>
      </c>
      <c r="W23" s="202"/>
      <c r="X23" s="205">
        <v>3</v>
      </c>
      <c r="Y23" s="175"/>
      <c r="Z23" s="553">
        <v>69</v>
      </c>
      <c r="AA23" s="196">
        <v>18</v>
      </c>
      <c r="AB23" s="187"/>
      <c r="AC23" s="211">
        <v>51</v>
      </c>
      <c r="AD23" s="201">
        <v>11</v>
      </c>
      <c r="AE23" s="556">
        <v>60</v>
      </c>
      <c r="AF23" s="187"/>
    </row>
    <row r="24" spans="1:35" ht="21.75" customHeight="1" x14ac:dyDescent="0.2">
      <c r="A24" s="560">
        <v>151</v>
      </c>
      <c r="B24" s="561">
        <v>21</v>
      </c>
      <c r="C24" s="183"/>
      <c r="D24" s="562" t="s">
        <v>17</v>
      </c>
      <c r="E24" s="403">
        <v>8</v>
      </c>
      <c r="F24" s="403">
        <v>8</v>
      </c>
      <c r="G24" s="186"/>
      <c r="H24" s="563">
        <v>153</v>
      </c>
      <c r="I24" s="561">
        <v>22</v>
      </c>
      <c r="J24" s="187"/>
      <c r="K24" s="564">
        <f t="shared" si="0"/>
        <v>2</v>
      </c>
      <c r="L24" s="565">
        <f t="shared" si="1"/>
        <v>1.3245033112582782</v>
      </c>
      <c r="M24" s="405">
        <f t="shared" si="2"/>
        <v>152</v>
      </c>
      <c r="N24" s="373">
        <f t="shared" si="3"/>
        <v>1</v>
      </c>
      <c r="O24" s="175"/>
      <c r="P24" s="406">
        <v>5</v>
      </c>
      <c r="Q24" s="566">
        <v>3</v>
      </c>
      <c r="R24" s="408"/>
      <c r="S24" s="567">
        <v>2</v>
      </c>
      <c r="T24" s="566">
        <v>0</v>
      </c>
      <c r="U24" s="568">
        <v>2</v>
      </c>
      <c r="V24" s="566">
        <v>0</v>
      </c>
      <c r="W24" s="408"/>
      <c r="X24" s="569">
        <v>0</v>
      </c>
      <c r="Y24" s="175"/>
      <c r="Z24" s="412">
        <v>69</v>
      </c>
      <c r="AA24" s="561">
        <v>19</v>
      </c>
      <c r="AB24" s="187"/>
      <c r="AC24" s="570">
        <v>47</v>
      </c>
      <c r="AD24" s="566">
        <v>4</v>
      </c>
      <c r="AE24" s="571">
        <v>68</v>
      </c>
      <c r="AF24" s="187"/>
    </row>
    <row r="25" spans="1:35" s="162" customFormat="1" ht="5.25" customHeight="1" x14ac:dyDescent="0.2">
      <c r="A25" s="442"/>
      <c r="B25" s="217"/>
      <c r="C25" s="218"/>
      <c r="D25" s="219"/>
      <c r="E25" s="146"/>
      <c r="F25" s="572"/>
      <c r="G25" s="219"/>
      <c r="H25" s="216"/>
      <c r="I25" s="217"/>
      <c r="J25" s="217"/>
      <c r="K25" s="220"/>
      <c r="L25" s="221"/>
      <c r="M25" s="362"/>
      <c r="N25" s="362"/>
      <c r="O25" s="222"/>
      <c r="P25" s="223"/>
      <c r="Q25" s="223"/>
      <c r="R25" s="224"/>
      <c r="S25" s="217"/>
      <c r="T25" s="223"/>
      <c r="U25" s="225"/>
      <c r="V25" s="223"/>
      <c r="W25" s="224"/>
      <c r="X25" s="223"/>
      <c r="Y25" s="222"/>
      <c r="Z25" s="217"/>
      <c r="AA25" s="221"/>
      <c r="AB25" s="217"/>
      <c r="AC25" s="223"/>
      <c r="AD25" s="223"/>
      <c r="AE25" s="439"/>
      <c r="AF25" s="217"/>
    </row>
    <row r="26" spans="1:35" ht="30" customHeight="1" x14ac:dyDescent="0.2">
      <c r="A26" s="573">
        <v>92</v>
      </c>
      <c r="B26" s="227">
        <f>SUM(D24)</f>
        <v>0</v>
      </c>
      <c r="C26" s="183"/>
      <c r="D26" s="228" t="s">
        <v>43</v>
      </c>
      <c r="E26" s="147">
        <v>1</v>
      </c>
      <c r="F26" s="147">
        <v>1</v>
      </c>
      <c r="G26" s="186"/>
      <c r="H26" s="226">
        <v>84</v>
      </c>
      <c r="I26" s="227">
        <v>0</v>
      </c>
      <c r="J26" s="187"/>
      <c r="K26" s="230">
        <f>H26-A26</f>
        <v>-8</v>
      </c>
      <c r="L26" s="231">
        <f>SUM(K26/A26*100)</f>
        <v>-8.695652173913043</v>
      </c>
      <c r="M26" s="374">
        <f>SUM(A26+P26-S26-U26-X26)</f>
        <v>82</v>
      </c>
      <c r="N26" s="375">
        <f>SUM(H26-M26)</f>
        <v>2</v>
      </c>
      <c r="O26" s="175"/>
      <c r="P26" s="100">
        <v>0</v>
      </c>
      <c r="Q26" s="232">
        <v>0</v>
      </c>
      <c r="R26" s="128"/>
      <c r="S26" s="233">
        <v>4</v>
      </c>
      <c r="T26" s="232">
        <v>0</v>
      </c>
      <c r="U26" s="234">
        <v>0</v>
      </c>
      <c r="V26" s="232">
        <v>0</v>
      </c>
      <c r="W26" s="130"/>
      <c r="X26" s="235">
        <v>6</v>
      </c>
      <c r="Y26" s="175"/>
      <c r="Z26" s="236">
        <v>72</v>
      </c>
      <c r="AA26" s="237">
        <v>25</v>
      </c>
      <c r="AB26" s="187"/>
      <c r="AC26" s="238">
        <v>0</v>
      </c>
      <c r="AD26" s="232">
        <v>18</v>
      </c>
      <c r="AE26" s="574">
        <v>73</v>
      </c>
      <c r="AF26" s="187"/>
    </row>
    <row r="27" spans="1:35" s="162" customFormat="1" ht="6.75" customHeight="1" x14ac:dyDescent="0.2">
      <c r="A27" s="442"/>
      <c r="B27" s="217"/>
      <c r="C27" s="218"/>
      <c r="D27" s="219"/>
      <c r="E27" s="146"/>
      <c r="F27" s="572"/>
      <c r="G27" s="219"/>
      <c r="H27" s="216"/>
      <c r="I27" s="217"/>
      <c r="J27" s="217"/>
      <c r="K27" s="220"/>
      <c r="L27" s="221"/>
      <c r="M27" s="362"/>
      <c r="N27" s="362"/>
      <c r="O27" s="222"/>
      <c r="P27" s="223"/>
      <c r="Q27" s="223"/>
      <c r="R27" s="224"/>
      <c r="S27" s="217"/>
      <c r="T27" s="223"/>
      <c r="U27" s="225"/>
      <c r="V27" s="223"/>
      <c r="W27" s="224"/>
      <c r="X27" s="223"/>
      <c r="Y27" s="222"/>
      <c r="Z27" s="217"/>
      <c r="AA27" s="221"/>
      <c r="AB27" s="217"/>
      <c r="AC27" s="223"/>
      <c r="AD27" s="223"/>
      <c r="AE27" s="439"/>
      <c r="AF27" s="217"/>
    </row>
    <row r="28" spans="1:35" s="162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75">
        <f>SUM(F26,F6:F24)</f>
        <v>244</v>
      </c>
      <c r="G28" s="456"/>
      <c r="H28" s="453">
        <f>SUM(H6,H7,H8,H9,H10,H11,H12,H13,H14,H15,H16,H17,H18,H19,H20,H21,H22,H23,H24,H26)</f>
        <v>6689</v>
      </c>
      <c r="I28" s="516">
        <f>SUM(I26,I6:I24)</f>
        <v>575</v>
      </c>
      <c r="J28" s="457"/>
      <c r="K28" s="518">
        <f>SUM(K26,K6:K24)</f>
        <v>-281</v>
      </c>
      <c r="L28" s="519">
        <f>SUM(K28/A28*100)</f>
        <v>-4.0315638450502149</v>
      </c>
      <c r="M28" s="520">
        <f>SUM(M26,M6:M24)</f>
        <v>6678</v>
      </c>
      <c r="N28" s="459">
        <f>SUM(N26,N6:N24)</f>
        <v>11</v>
      </c>
      <c r="O28" s="460"/>
      <c r="P28" s="521">
        <f>SUM(P26,P6:P24)</f>
        <v>74</v>
      </c>
      <c r="Q28" s="522">
        <f>SUM(Q26,Q6:Q24)</f>
        <v>17</v>
      </c>
      <c r="R28" s="461"/>
      <c r="S28" s="523">
        <f>SUM(S26,S6:S24)</f>
        <v>137</v>
      </c>
      <c r="T28" s="523">
        <f t="shared" ref="T28:V28" si="4">SUM(T26,T6:T24)</f>
        <v>0</v>
      </c>
      <c r="U28" s="523">
        <f t="shared" si="4"/>
        <v>190</v>
      </c>
      <c r="V28" s="523">
        <f t="shared" si="4"/>
        <v>0</v>
      </c>
      <c r="W28" s="461"/>
      <c r="X28" s="517">
        <f>SUM(X26,X6:X24)</f>
        <v>39</v>
      </c>
      <c r="Y28" s="460"/>
      <c r="Z28" s="524">
        <f>SUM(Z26,Z6:Z24)/20</f>
        <v>71.3</v>
      </c>
      <c r="AA28" s="516">
        <f>SUM(AA26,AA6:AA24)/20</f>
        <v>21.6</v>
      </c>
      <c r="AB28" s="457"/>
      <c r="AC28" s="524">
        <f>SUM(AC26,AC6:AC24)/17</f>
        <v>54.058823529411768</v>
      </c>
      <c r="AD28" s="523">
        <f>SUM(AD26,AD6:AD24)/19</f>
        <v>13.736842105263158</v>
      </c>
      <c r="AE28" s="525">
        <f>SUM(AE26,AE6:AE24)/19</f>
        <v>64.631578947368425</v>
      </c>
      <c r="AF28" s="214"/>
      <c r="AH28" s="162" t="s">
        <v>0</v>
      </c>
      <c r="AI28" s="162" t="s">
        <v>0</v>
      </c>
    </row>
    <row r="29" spans="1:35" s="162" customFormat="1" ht="19.5" customHeight="1" thickBot="1" x14ac:dyDescent="0.25">
      <c r="A29" s="216"/>
      <c r="B29" s="217"/>
      <c r="C29" s="218"/>
      <c r="D29" s="219"/>
      <c r="E29" s="146"/>
      <c r="F29" s="572"/>
      <c r="G29" s="219"/>
      <c r="H29" s="216"/>
      <c r="I29" s="217"/>
      <c r="J29" s="217"/>
      <c r="K29" s="220"/>
      <c r="L29" s="221"/>
      <c r="M29" s="362"/>
      <c r="N29" s="362"/>
      <c r="O29" s="222"/>
      <c r="P29" s="223"/>
      <c r="Q29" s="223"/>
      <c r="R29" s="224"/>
      <c r="S29" s="217"/>
      <c r="T29" s="223"/>
      <c r="U29" s="225"/>
      <c r="V29" s="223"/>
      <c r="W29" s="224"/>
      <c r="X29" s="223"/>
      <c r="Y29" s="222"/>
      <c r="Z29" s="217"/>
      <c r="AA29" s="221"/>
      <c r="AB29" s="217"/>
      <c r="AC29" s="223"/>
      <c r="AD29" s="223"/>
      <c r="AE29" s="223"/>
      <c r="AF29" s="217"/>
    </row>
    <row r="30" spans="1:35" ht="21.75" customHeight="1" x14ac:dyDescent="0.2">
      <c r="A30" s="501">
        <v>371</v>
      </c>
      <c r="B30" s="542">
        <v>19</v>
      </c>
      <c r="C30" s="416"/>
      <c r="D30" s="543" t="s">
        <v>38</v>
      </c>
      <c r="E30" s="467">
        <v>12</v>
      </c>
      <c r="F30" s="467">
        <v>12</v>
      </c>
      <c r="G30" s="420"/>
      <c r="H30" s="502">
        <v>371</v>
      </c>
      <c r="I30" s="542">
        <v>20</v>
      </c>
      <c r="J30" s="423"/>
      <c r="K30" s="544">
        <f>H30-A30</f>
        <v>0</v>
      </c>
      <c r="L30" s="545">
        <f>SUM(K30/A30*100)</f>
        <v>0</v>
      </c>
      <c r="M30" s="472">
        <f>SUM(A30+P30-S30-U30-X30)</f>
        <v>371</v>
      </c>
      <c r="N30" s="473">
        <f>SUM(H30-M30)</f>
        <v>0</v>
      </c>
      <c r="O30" s="426"/>
      <c r="P30" s="474">
        <v>11</v>
      </c>
      <c r="Q30" s="546">
        <v>0</v>
      </c>
      <c r="R30" s="476"/>
      <c r="S30" s="576">
        <v>5</v>
      </c>
      <c r="T30" s="546">
        <v>0</v>
      </c>
      <c r="U30" s="577">
        <v>6</v>
      </c>
      <c r="V30" s="546">
        <v>0</v>
      </c>
      <c r="W30" s="479"/>
      <c r="X30" s="549">
        <v>0</v>
      </c>
      <c r="Y30" s="426"/>
      <c r="Z30" s="481">
        <v>75</v>
      </c>
      <c r="AA30" s="542">
        <v>16</v>
      </c>
      <c r="AB30" s="423"/>
      <c r="AC30" s="578">
        <v>61</v>
      </c>
      <c r="AD30" s="546">
        <v>16</v>
      </c>
      <c r="AE30" s="579">
        <v>77</v>
      </c>
      <c r="AF30" s="187"/>
    </row>
    <row r="31" spans="1:35" ht="21.75" customHeight="1" x14ac:dyDescent="0.2">
      <c r="A31" s="509">
        <v>410</v>
      </c>
      <c r="B31" s="196">
        <v>18</v>
      </c>
      <c r="C31" s="183"/>
      <c r="D31" s="197" t="s">
        <v>39</v>
      </c>
      <c r="E31" s="145">
        <v>15</v>
      </c>
      <c r="F31" s="145">
        <v>15</v>
      </c>
      <c r="G31" s="186"/>
      <c r="H31" s="44">
        <v>396</v>
      </c>
      <c r="I31" s="196">
        <v>17</v>
      </c>
      <c r="J31" s="187"/>
      <c r="K31" s="199">
        <f>H31-A31</f>
        <v>-14</v>
      </c>
      <c r="L31" s="200">
        <f>SUM(K31/A31*100)</f>
        <v>-3.4146341463414638</v>
      </c>
      <c r="M31" s="370">
        <f>SUM(A31+P31-S31-U31-X31)</f>
        <v>393</v>
      </c>
      <c r="N31" s="371">
        <f>SUM(H31-M31)</f>
        <v>3</v>
      </c>
      <c r="O31" s="175"/>
      <c r="P31" s="38">
        <v>7</v>
      </c>
      <c r="Q31" s="201">
        <v>0</v>
      </c>
      <c r="R31" s="202"/>
      <c r="S31" s="203">
        <v>16</v>
      </c>
      <c r="T31" s="201">
        <v>0</v>
      </c>
      <c r="U31" s="204">
        <v>8</v>
      </c>
      <c r="V31" s="201">
        <v>0</v>
      </c>
      <c r="W31" s="132"/>
      <c r="X31" s="205">
        <v>0</v>
      </c>
      <c r="Y31" s="175"/>
      <c r="Z31" s="553">
        <v>72</v>
      </c>
      <c r="AA31" s="196">
        <v>16</v>
      </c>
      <c r="AB31" s="187"/>
      <c r="AC31" s="211">
        <v>55</v>
      </c>
      <c r="AD31" s="201">
        <v>8</v>
      </c>
      <c r="AE31" s="556">
        <v>72</v>
      </c>
      <c r="AF31" s="187"/>
    </row>
    <row r="32" spans="1:35" ht="21.75" customHeight="1" x14ac:dyDescent="0.2">
      <c r="A32" s="509">
        <v>109</v>
      </c>
      <c r="B32" s="196">
        <v>13</v>
      </c>
      <c r="C32" s="183"/>
      <c r="D32" s="197" t="s">
        <v>40</v>
      </c>
      <c r="E32" s="145">
        <v>6</v>
      </c>
      <c r="F32" s="145">
        <v>6</v>
      </c>
      <c r="G32" s="186"/>
      <c r="H32" s="44">
        <v>101</v>
      </c>
      <c r="I32" s="196">
        <v>11</v>
      </c>
      <c r="J32" s="187"/>
      <c r="K32" s="199">
        <f>H32-A32</f>
        <v>-8</v>
      </c>
      <c r="L32" s="200">
        <f>SUM(K32/A32*100)</f>
        <v>-7.3394495412844041</v>
      </c>
      <c r="M32" s="370">
        <f>SUM(A32+P32-S32-U32-X32)</f>
        <v>101</v>
      </c>
      <c r="N32" s="371">
        <f>SUM(H32-M32)</f>
        <v>0</v>
      </c>
      <c r="O32" s="175"/>
      <c r="P32" s="38">
        <v>0</v>
      </c>
      <c r="Q32" s="201">
        <v>0</v>
      </c>
      <c r="R32" s="202"/>
      <c r="S32" s="203">
        <v>6</v>
      </c>
      <c r="T32" s="201">
        <v>0</v>
      </c>
      <c r="U32" s="204">
        <v>2</v>
      </c>
      <c r="V32" s="201">
        <v>0</v>
      </c>
      <c r="W32" s="132"/>
      <c r="X32" s="205">
        <v>0</v>
      </c>
      <c r="Y32" s="175"/>
      <c r="Z32" s="553">
        <v>75</v>
      </c>
      <c r="AA32" s="196">
        <v>16</v>
      </c>
      <c r="AB32" s="187"/>
      <c r="AC32" s="268">
        <v>0</v>
      </c>
      <c r="AD32" s="201">
        <v>11</v>
      </c>
      <c r="AE32" s="556">
        <v>78</v>
      </c>
      <c r="AF32" s="187"/>
    </row>
    <row r="33" spans="1:32" ht="21.75" customHeight="1" x14ac:dyDescent="0.2">
      <c r="A33" s="509">
        <v>11</v>
      </c>
      <c r="B33" s="196">
        <v>0</v>
      </c>
      <c r="C33" s="183"/>
      <c r="D33" s="197" t="s">
        <v>63</v>
      </c>
      <c r="E33" s="145">
        <v>1</v>
      </c>
      <c r="F33" s="145">
        <v>1</v>
      </c>
      <c r="G33" s="186"/>
      <c r="H33" s="44">
        <v>11</v>
      </c>
      <c r="I33" s="196">
        <v>0</v>
      </c>
      <c r="J33" s="187"/>
      <c r="K33" s="557">
        <f>H33-A33</f>
        <v>0</v>
      </c>
      <c r="L33" s="558">
        <f>SUM(K33/A33*100)</f>
        <v>0</v>
      </c>
      <c r="M33" s="370">
        <f>SUM(A33+P33-S33-U33-X33)</f>
        <v>11</v>
      </c>
      <c r="N33" s="371">
        <v>0</v>
      </c>
      <c r="O33" s="175"/>
      <c r="P33" s="38">
        <v>0</v>
      </c>
      <c r="Q33" s="201">
        <v>0</v>
      </c>
      <c r="R33" s="202"/>
      <c r="S33" s="203">
        <v>0</v>
      </c>
      <c r="T33" s="201">
        <v>0</v>
      </c>
      <c r="U33" s="204">
        <v>0</v>
      </c>
      <c r="V33" s="201">
        <v>0</v>
      </c>
      <c r="W33" s="132"/>
      <c r="X33" s="205">
        <v>0</v>
      </c>
      <c r="Y33" s="175"/>
      <c r="Z33" s="198">
        <v>75</v>
      </c>
      <c r="AA33" s="196">
        <v>10</v>
      </c>
      <c r="AB33" s="187"/>
      <c r="AC33" s="268">
        <v>0</v>
      </c>
      <c r="AD33" s="269">
        <v>0</v>
      </c>
      <c r="AE33" s="580">
        <v>0</v>
      </c>
      <c r="AF33" s="187"/>
    </row>
    <row r="34" spans="1:32" s="162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879</v>
      </c>
      <c r="I34" s="487">
        <f>SUM(I30:I33)</f>
        <v>48</v>
      </c>
      <c r="J34" s="457"/>
      <c r="K34" s="491">
        <f>H34-A34</f>
        <v>-22</v>
      </c>
      <c r="L34" s="492">
        <f>SUM(K34/A34*100)</f>
        <v>-2.4417314095449503</v>
      </c>
      <c r="M34" s="493">
        <f>SUM(M30:M33)</f>
        <v>876</v>
      </c>
      <c r="N34" s="494">
        <f>SUM(H34-M34)</f>
        <v>3</v>
      </c>
      <c r="O34" s="460"/>
      <c r="P34" s="490">
        <f>SUM(P30:P33)</f>
        <v>18</v>
      </c>
      <c r="Q34" s="495">
        <f>SUM(Q30:Q33)</f>
        <v>0</v>
      </c>
      <c r="R34" s="496"/>
      <c r="S34" s="495">
        <f>SUM(S30:S33)</f>
        <v>27</v>
      </c>
      <c r="T34" s="495">
        <f>SUM(T30:T33)</f>
        <v>0</v>
      </c>
      <c r="U34" s="495">
        <f>SUM(U30:U33)</f>
        <v>16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74.25</v>
      </c>
      <c r="AA34" s="498">
        <f>SUM(AA30:AA33)/4</f>
        <v>14.5</v>
      </c>
      <c r="AB34" s="457"/>
      <c r="AC34" s="497">
        <f>SUM(AC30:AC33)/2</f>
        <v>58</v>
      </c>
      <c r="AD34" s="499">
        <f>SUM(AD30:AD33)/3</f>
        <v>11.666666666666666</v>
      </c>
      <c r="AE34" s="500">
        <f>SUM(AE30:AE33)/3</f>
        <v>75.666666666666671</v>
      </c>
      <c r="AF34" s="214"/>
    </row>
    <row r="35" spans="1:32" s="162" customFormat="1" ht="20.25" customHeight="1" thickBot="1" x14ac:dyDescent="0.25">
      <c r="A35" s="216"/>
      <c r="B35" s="217"/>
      <c r="C35" s="218"/>
      <c r="D35" s="219"/>
      <c r="E35" s="146"/>
      <c r="F35" s="146"/>
      <c r="G35" s="219"/>
      <c r="H35" s="216"/>
      <c r="I35" s="217"/>
      <c r="J35" s="217"/>
      <c r="K35" s="220"/>
      <c r="L35" s="221"/>
      <c r="M35" s="362"/>
      <c r="N35" s="362"/>
      <c r="O35" s="222"/>
      <c r="P35" s="223"/>
      <c r="Q35" s="223"/>
      <c r="R35" s="224"/>
      <c r="S35" s="217"/>
      <c r="T35" s="223"/>
      <c r="U35" s="225"/>
      <c r="V35" s="223"/>
      <c r="W35" s="224"/>
      <c r="X35" s="223"/>
      <c r="Y35" s="222"/>
      <c r="Z35" s="217"/>
      <c r="AA35" s="221"/>
      <c r="AB35" s="217"/>
      <c r="AC35" s="223"/>
      <c r="AD35" s="223"/>
      <c r="AE35" s="223"/>
      <c r="AF35" s="217"/>
    </row>
    <row r="36" spans="1:32" ht="32.25" customHeight="1" x14ac:dyDescent="0.2">
      <c r="A36" s="581">
        <v>95</v>
      </c>
      <c r="B36" s="582">
        <v>2</v>
      </c>
      <c r="C36" s="416"/>
      <c r="D36" s="583" t="s">
        <v>79</v>
      </c>
      <c r="E36" s="418">
        <v>3</v>
      </c>
      <c r="F36" s="418">
        <v>3</v>
      </c>
      <c r="G36" s="420"/>
      <c r="H36" s="584">
        <v>95</v>
      </c>
      <c r="I36" s="585">
        <v>2</v>
      </c>
      <c r="J36" s="423"/>
      <c r="K36" s="586">
        <f>H36-A36</f>
        <v>0</v>
      </c>
      <c r="L36" s="58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588">
        <v>0</v>
      </c>
      <c r="R36" s="429"/>
      <c r="S36" s="589">
        <v>0</v>
      </c>
      <c r="T36" s="588">
        <v>0</v>
      </c>
      <c r="U36" s="590">
        <v>0</v>
      </c>
      <c r="V36" s="588">
        <v>0</v>
      </c>
      <c r="W36" s="432"/>
      <c r="X36" s="591">
        <v>0</v>
      </c>
      <c r="Y36" s="426"/>
      <c r="Z36" s="592">
        <v>49</v>
      </c>
      <c r="AA36" s="585">
        <v>2</v>
      </c>
      <c r="AB36" s="423"/>
      <c r="AC36" s="593">
        <v>0</v>
      </c>
      <c r="AD36" s="594">
        <v>0</v>
      </c>
      <c r="AE36" s="595">
        <v>0</v>
      </c>
      <c r="AF36" s="187"/>
    </row>
    <row r="37" spans="1:32" s="162" customFormat="1" ht="4.5" customHeight="1" x14ac:dyDescent="0.2">
      <c r="A37" s="438"/>
      <c r="B37" s="219"/>
      <c r="C37" s="218"/>
      <c r="D37" s="219"/>
      <c r="E37" s="146"/>
      <c r="F37" s="572"/>
      <c r="G37" s="219"/>
      <c r="H37" s="216"/>
      <c r="I37" s="217"/>
      <c r="J37" s="217"/>
      <c r="K37" s="220"/>
      <c r="L37" s="221"/>
      <c r="M37" s="362"/>
      <c r="N37" s="362"/>
      <c r="O37" s="222"/>
      <c r="P37" s="223"/>
      <c r="Q37" s="223"/>
      <c r="R37" s="224"/>
      <c r="S37" s="217"/>
      <c r="T37" s="223"/>
      <c r="U37" s="225"/>
      <c r="V37" s="223"/>
      <c r="W37" s="224"/>
      <c r="X37" s="223"/>
      <c r="Y37" s="222"/>
      <c r="Z37" s="217"/>
      <c r="AA37" s="221"/>
      <c r="AB37" s="217"/>
      <c r="AC37" s="223"/>
      <c r="AD37" s="223"/>
      <c r="AE37" s="439"/>
      <c r="AF37" s="217"/>
    </row>
    <row r="38" spans="1:32" ht="32.25" customHeight="1" x14ac:dyDescent="0.2">
      <c r="A38" s="596">
        <v>18</v>
      </c>
      <c r="B38" s="597">
        <v>0</v>
      </c>
      <c r="C38" s="183"/>
      <c r="D38" s="228" t="s">
        <v>80</v>
      </c>
      <c r="E38" s="147">
        <v>1</v>
      </c>
      <c r="F38" s="147">
        <v>1</v>
      </c>
      <c r="G38" s="186"/>
      <c r="H38" s="226">
        <v>24</v>
      </c>
      <c r="I38" s="227">
        <v>0</v>
      </c>
      <c r="J38" s="187"/>
      <c r="K38" s="334">
        <f>H38-A38</f>
        <v>6</v>
      </c>
      <c r="L38" s="335">
        <f>SUM(K38/A38*100)</f>
        <v>33.333333333333329</v>
      </c>
      <c r="M38" s="374">
        <f>SUM(A38+P38-S38-U38-X38)</f>
        <v>24</v>
      </c>
      <c r="N38" s="375">
        <f>SUM(H38-M38)</f>
        <v>0</v>
      </c>
      <c r="O38" s="175"/>
      <c r="P38" s="54">
        <v>6</v>
      </c>
      <c r="Q38" s="232">
        <v>0</v>
      </c>
      <c r="R38" s="128"/>
      <c r="S38" s="243">
        <v>0</v>
      </c>
      <c r="T38" s="232">
        <v>0</v>
      </c>
      <c r="U38" s="244">
        <v>0</v>
      </c>
      <c r="V38" s="232">
        <v>0</v>
      </c>
      <c r="W38" s="130"/>
      <c r="X38" s="239">
        <v>0</v>
      </c>
      <c r="Y38" s="175"/>
      <c r="Z38" s="229">
        <v>46</v>
      </c>
      <c r="AA38" s="227">
        <v>4</v>
      </c>
      <c r="AB38" s="187"/>
      <c r="AC38" s="238">
        <v>39</v>
      </c>
      <c r="AD38" s="271">
        <v>0</v>
      </c>
      <c r="AE38" s="598">
        <v>0</v>
      </c>
      <c r="AF38" s="187"/>
    </row>
    <row r="39" spans="1:32" s="162" customFormat="1" ht="4.5" customHeight="1" x14ac:dyDescent="0.2">
      <c r="A39" s="442"/>
      <c r="B39" s="217"/>
      <c r="C39" s="218"/>
      <c r="D39" s="219"/>
      <c r="E39" s="146"/>
      <c r="F39" s="572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439"/>
      <c r="AF39" s="217"/>
    </row>
    <row r="40" spans="1:32" ht="21.75" customHeight="1" x14ac:dyDescent="0.2">
      <c r="A40" s="599">
        <v>274</v>
      </c>
      <c r="B40" s="182">
        <v>6</v>
      </c>
      <c r="C40" s="183"/>
      <c r="D40" s="184" t="s">
        <v>41</v>
      </c>
      <c r="E40" s="144">
        <v>10</v>
      </c>
      <c r="F40" s="144">
        <v>10</v>
      </c>
      <c r="G40" s="186"/>
      <c r="H40" s="60">
        <v>270</v>
      </c>
      <c r="I40" s="182">
        <v>6</v>
      </c>
      <c r="J40" s="187"/>
      <c r="K40" s="600">
        <f>H40-A40</f>
        <v>-4</v>
      </c>
      <c r="L40" s="601">
        <f>SUM(K40/A40*100)</f>
        <v>-1.4598540145985401</v>
      </c>
      <c r="M40" s="368">
        <f>SUM(A40+P40-S40-U40-X40)</f>
        <v>270</v>
      </c>
      <c r="N40" s="369">
        <f>SUM(H40-M40)</f>
        <v>0</v>
      </c>
      <c r="O40" s="175"/>
      <c r="P40" s="80">
        <v>4</v>
      </c>
      <c r="Q40" s="190">
        <v>0</v>
      </c>
      <c r="R40" s="124"/>
      <c r="S40" s="240">
        <v>4</v>
      </c>
      <c r="T40" s="190">
        <v>0</v>
      </c>
      <c r="U40" s="241">
        <v>1</v>
      </c>
      <c r="V40" s="190">
        <v>0</v>
      </c>
      <c r="W40" s="131"/>
      <c r="X40" s="193">
        <v>3</v>
      </c>
      <c r="Y40" s="175"/>
      <c r="Z40" s="185">
        <v>61</v>
      </c>
      <c r="AA40" s="182">
        <v>5</v>
      </c>
      <c r="AB40" s="187"/>
      <c r="AC40" s="242">
        <v>64</v>
      </c>
      <c r="AD40" s="272">
        <v>6</v>
      </c>
      <c r="AE40" s="602">
        <v>67</v>
      </c>
      <c r="AF40" s="187"/>
    </row>
    <row r="41" spans="1:32" ht="21.75" customHeight="1" x14ac:dyDescent="0.2">
      <c r="A41" s="509">
        <v>106</v>
      </c>
      <c r="B41" s="196">
        <v>8</v>
      </c>
      <c r="C41" s="183"/>
      <c r="D41" s="197" t="s">
        <v>42</v>
      </c>
      <c r="E41" s="145">
        <v>5</v>
      </c>
      <c r="F41" s="145">
        <v>5</v>
      </c>
      <c r="G41" s="186"/>
      <c r="H41" s="44">
        <v>115</v>
      </c>
      <c r="I41" s="196">
        <v>5</v>
      </c>
      <c r="J41" s="187"/>
      <c r="K41" s="557">
        <f>H41-A41</f>
        <v>9</v>
      </c>
      <c r="L41" s="558">
        <f>SUM(K41/A41*100)</f>
        <v>8.4905660377358494</v>
      </c>
      <c r="M41" s="370">
        <f>SUM(A41+P41-S41-U41-X41)</f>
        <v>112</v>
      </c>
      <c r="N41" s="371">
        <f>SUM(H41-M41)</f>
        <v>3</v>
      </c>
      <c r="O41" s="175"/>
      <c r="P41" s="38">
        <v>15</v>
      </c>
      <c r="Q41" s="201">
        <v>0</v>
      </c>
      <c r="R41" s="202"/>
      <c r="S41" s="203">
        <v>9</v>
      </c>
      <c r="T41" s="201">
        <v>0</v>
      </c>
      <c r="U41" s="204">
        <v>0</v>
      </c>
      <c r="V41" s="201">
        <v>0</v>
      </c>
      <c r="W41" s="132"/>
      <c r="X41" s="205">
        <v>0</v>
      </c>
      <c r="Y41" s="175"/>
      <c r="Z41" s="198">
        <v>54</v>
      </c>
      <c r="AA41" s="196">
        <v>3</v>
      </c>
      <c r="AB41" s="187"/>
      <c r="AC41" s="268">
        <v>60</v>
      </c>
      <c r="AD41" s="201">
        <v>3</v>
      </c>
      <c r="AE41" s="556">
        <v>55</v>
      </c>
      <c r="AF41" s="187"/>
    </row>
    <row r="42" spans="1:32" s="329" customFormat="1" ht="21.75" customHeight="1" x14ac:dyDescent="0.2">
      <c r="A42" s="447">
        <f>SUM(A40:A41)</f>
        <v>380</v>
      </c>
      <c r="B42" s="287">
        <f>SUM(B40:B41)</f>
        <v>14</v>
      </c>
      <c r="C42" s="325"/>
      <c r="D42" s="289" t="s">
        <v>44</v>
      </c>
      <c r="E42" s="290">
        <f>SUM(E40:E41)</f>
        <v>15</v>
      </c>
      <c r="F42" s="290">
        <f>SUM(F40:F41)</f>
        <v>15</v>
      </c>
      <c r="G42" s="326"/>
      <c r="H42" s="286">
        <f>SUM(H40:H41)</f>
        <v>385</v>
      </c>
      <c r="I42" s="287">
        <f>SUM(I40:I41)</f>
        <v>11</v>
      </c>
      <c r="J42" s="327"/>
      <c r="K42" s="293">
        <f>H42-A42</f>
        <v>5</v>
      </c>
      <c r="L42" s="294">
        <f>SUM(K42/A42*100)</f>
        <v>1.3157894736842104</v>
      </c>
      <c r="M42" s="372">
        <f>SUM(A42+P42-S42-U42-X42)</f>
        <v>382</v>
      </c>
      <c r="N42" s="373">
        <f>SUM(H42-M42)</f>
        <v>3</v>
      </c>
      <c r="O42" s="328"/>
      <c r="P42" s="296">
        <f>SUM(P40:P41)</f>
        <v>19</v>
      </c>
      <c r="Q42" s="297">
        <f>SUM(Q40:Q41)</f>
        <v>0</v>
      </c>
      <c r="R42" s="298"/>
      <c r="S42" s="299">
        <f>SUM(S40:S41)</f>
        <v>13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3</v>
      </c>
      <c r="Y42" s="328"/>
      <c r="Z42" s="302">
        <f>SUM(Z40:Z41)/2</f>
        <v>57.5</v>
      </c>
      <c r="AA42" s="287">
        <f>SUM(AA40,AA41)/2</f>
        <v>4</v>
      </c>
      <c r="AB42" s="327"/>
      <c r="AC42" s="296">
        <f>SUM(AC41,AC40)/2</f>
        <v>62</v>
      </c>
      <c r="AD42" s="303">
        <f>SUM(AD41,AD40)/2</f>
        <v>4.5</v>
      </c>
      <c r="AE42" s="448">
        <f>SUM(AE41,AE40)/2</f>
        <v>61</v>
      </c>
      <c r="AF42" s="327"/>
    </row>
    <row r="43" spans="1:32" s="162" customFormat="1" ht="4.5" customHeight="1" x14ac:dyDescent="0.2">
      <c r="A43" s="442"/>
      <c r="B43" s="217"/>
      <c r="C43" s="218"/>
      <c r="D43" s="219"/>
      <c r="E43" s="146"/>
      <c r="F43" s="572"/>
      <c r="G43" s="219"/>
      <c r="H43" s="216"/>
      <c r="I43" s="217"/>
      <c r="J43" s="217"/>
      <c r="K43" s="220"/>
      <c r="L43" s="221"/>
      <c r="M43" s="362"/>
      <c r="N43" s="362"/>
      <c r="O43" s="222"/>
      <c r="P43" s="223"/>
      <c r="Q43" s="223"/>
      <c r="R43" s="224"/>
      <c r="S43" s="217"/>
      <c r="T43" s="223"/>
      <c r="U43" s="225"/>
      <c r="V43" s="223"/>
      <c r="W43" s="224"/>
      <c r="X43" s="223"/>
      <c r="Y43" s="222"/>
      <c r="Z43" s="217"/>
      <c r="AA43" s="221"/>
      <c r="AB43" s="217"/>
      <c r="AC43" s="223"/>
      <c r="AD43" s="223"/>
      <c r="AE43" s="439"/>
      <c r="AF43" s="217"/>
    </row>
    <row r="44" spans="1:32" s="344" customFormat="1" ht="27.75" customHeight="1" x14ac:dyDescent="0.2">
      <c r="A44" s="603">
        <v>57</v>
      </c>
      <c r="B44" s="331">
        <v>14</v>
      </c>
      <c r="C44" s="332"/>
      <c r="D44" s="228" t="s">
        <v>67</v>
      </c>
      <c r="E44" s="147">
        <v>3</v>
      </c>
      <c r="F44" s="147">
        <v>3</v>
      </c>
      <c r="G44" s="186"/>
      <c r="H44" s="330">
        <v>48</v>
      </c>
      <c r="I44" s="331">
        <v>14</v>
      </c>
      <c r="J44" s="333"/>
      <c r="K44" s="230">
        <f>H44-A44</f>
        <v>-9</v>
      </c>
      <c r="L44" s="390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36"/>
      <c r="P44" s="311">
        <v>0</v>
      </c>
      <c r="Q44" s="337">
        <v>1</v>
      </c>
      <c r="R44" s="313"/>
      <c r="S44" s="338">
        <v>3</v>
      </c>
      <c r="T44" s="337">
        <v>0</v>
      </c>
      <c r="U44" s="339">
        <v>5</v>
      </c>
      <c r="V44" s="337">
        <v>0</v>
      </c>
      <c r="W44" s="316"/>
      <c r="X44" s="147">
        <v>0</v>
      </c>
      <c r="Y44" s="336"/>
      <c r="Z44" s="340">
        <v>76</v>
      </c>
      <c r="AA44" s="331">
        <v>4</v>
      </c>
      <c r="AB44" s="333"/>
      <c r="AC44" s="341">
        <v>0</v>
      </c>
      <c r="AD44" s="342">
        <v>26</v>
      </c>
      <c r="AE44" s="604">
        <v>79</v>
      </c>
      <c r="AF44" s="333"/>
    </row>
    <row r="45" spans="1:32" s="162" customFormat="1" ht="4.5" customHeight="1" x14ac:dyDescent="0.2">
      <c r="A45" s="442"/>
      <c r="B45" s="217"/>
      <c r="C45" s="218"/>
      <c r="D45" s="219"/>
      <c r="E45" s="146"/>
      <c r="F45" s="572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439"/>
      <c r="AF45" s="217"/>
    </row>
    <row r="46" spans="1:32" s="344" customFormat="1" ht="27.75" customHeight="1" x14ac:dyDescent="0.2">
      <c r="A46" s="603">
        <v>159</v>
      </c>
      <c r="B46" s="331">
        <v>33</v>
      </c>
      <c r="C46" s="332"/>
      <c r="D46" s="363" t="s">
        <v>70</v>
      </c>
      <c r="E46" s="147">
        <v>6</v>
      </c>
      <c r="F46" s="147">
        <v>6</v>
      </c>
      <c r="G46" s="186"/>
      <c r="H46" s="330">
        <v>161</v>
      </c>
      <c r="I46" s="331">
        <v>32</v>
      </c>
      <c r="J46" s="333"/>
      <c r="K46" s="230">
        <f>H46-A46</f>
        <v>2</v>
      </c>
      <c r="L46" s="390">
        <f>SUM(K46/A46*100)</f>
        <v>1.257861635220126</v>
      </c>
      <c r="M46" s="374">
        <f>SUM(A46+P46-S46-U46-X46)</f>
        <v>161</v>
      </c>
      <c r="N46" s="375">
        <f>SUM(H46-M46)</f>
        <v>0</v>
      </c>
      <c r="O46" s="336"/>
      <c r="P46" s="311">
        <v>15</v>
      </c>
      <c r="Q46" s="337">
        <v>0</v>
      </c>
      <c r="R46" s="313"/>
      <c r="S46" s="338">
        <v>11</v>
      </c>
      <c r="T46" s="337">
        <v>0</v>
      </c>
      <c r="U46" s="339">
        <v>1</v>
      </c>
      <c r="V46" s="337">
        <v>0</v>
      </c>
      <c r="W46" s="316"/>
      <c r="X46" s="147">
        <v>1</v>
      </c>
      <c r="Y46" s="336"/>
      <c r="Z46" s="340">
        <v>69</v>
      </c>
      <c r="AA46" s="331">
        <v>14</v>
      </c>
      <c r="AB46" s="333"/>
      <c r="AC46" s="341">
        <v>67</v>
      </c>
      <c r="AD46" s="337">
        <v>13</v>
      </c>
      <c r="AE46" s="605">
        <v>70</v>
      </c>
      <c r="AF46" s="333"/>
    </row>
    <row r="47" spans="1:32" s="162" customFormat="1" ht="4.5" customHeight="1" x14ac:dyDescent="0.2">
      <c r="A47" s="442"/>
      <c r="B47" s="217"/>
      <c r="C47" s="218"/>
      <c r="D47" s="219"/>
      <c r="E47" s="146"/>
      <c r="F47" s="572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439"/>
      <c r="AF47" s="217"/>
    </row>
    <row r="48" spans="1:32" s="344" customFormat="1" ht="27.75" customHeight="1" x14ac:dyDescent="0.2">
      <c r="A48" s="603">
        <v>118</v>
      </c>
      <c r="B48" s="331">
        <v>1</v>
      </c>
      <c r="C48" s="332"/>
      <c r="D48" s="228" t="s">
        <v>68</v>
      </c>
      <c r="E48" s="147">
        <v>4</v>
      </c>
      <c r="F48" s="147">
        <v>4</v>
      </c>
      <c r="G48" s="186"/>
      <c r="H48" s="330">
        <v>116</v>
      </c>
      <c r="I48" s="331">
        <v>1</v>
      </c>
      <c r="J48" s="333"/>
      <c r="K48" s="230">
        <f>H48-A48</f>
        <v>-2</v>
      </c>
      <c r="L48" s="390">
        <f>SUM(K48/A48*100)</f>
        <v>-1.6949152542372881</v>
      </c>
      <c r="M48" s="374">
        <f>SUM(A48+P48-S48-U48-X48)</f>
        <v>117</v>
      </c>
      <c r="N48" s="375">
        <f>SUM(H48-M48)</f>
        <v>-1</v>
      </c>
      <c r="O48" s="336"/>
      <c r="P48" s="311">
        <v>1</v>
      </c>
      <c r="Q48" s="337">
        <v>1</v>
      </c>
      <c r="R48" s="313"/>
      <c r="S48" s="338">
        <v>1</v>
      </c>
      <c r="T48" s="337">
        <v>0</v>
      </c>
      <c r="U48" s="339">
        <v>1</v>
      </c>
      <c r="V48" s="337">
        <v>0</v>
      </c>
      <c r="W48" s="316"/>
      <c r="X48" s="147">
        <v>0</v>
      </c>
      <c r="Y48" s="336"/>
      <c r="Z48" s="340">
        <v>62</v>
      </c>
      <c r="AA48" s="331">
        <v>14</v>
      </c>
      <c r="AB48" s="333"/>
      <c r="AC48" s="345">
        <v>45</v>
      </c>
      <c r="AD48" s="337">
        <v>6</v>
      </c>
      <c r="AE48" s="605">
        <v>44</v>
      </c>
      <c r="AF48" s="333"/>
    </row>
    <row r="49" spans="1:32" s="162" customFormat="1" ht="4.5" customHeight="1" x14ac:dyDescent="0.2">
      <c r="A49" s="442"/>
      <c r="B49" s="217"/>
      <c r="C49" s="218"/>
      <c r="D49" s="219"/>
      <c r="E49" s="146"/>
      <c r="F49" s="572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439"/>
      <c r="AF49" s="217"/>
    </row>
    <row r="50" spans="1:32" s="162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829</v>
      </c>
      <c r="I50" s="453">
        <f>SUM(I48,I46,I44,I42,I38,I36)</f>
        <v>60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828</v>
      </c>
      <c r="N50" s="459">
        <f>SUM(H50-M50)</f>
        <v>1</v>
      </c>
      <c r="O50" s="460"/>
      <c r="P50" s="453">
        <f>SUM(P48,P46,P44,P42,P38,P36)</f>
        <v>41</v>
      </c>
      <c r="Q50" s="453">
        <f>SUM(Q48,Q46,Q44,Q42,Q38,Q36)</f>
        <v>2</v>
      </c>
      <c r="R50" s="461"/>
      <c r="S50" s="453">
        <f>SUM(S48,S46,S44,S42,S38,S36)</f>
        <v>28</v>
      </c>
      <c r="T50" s="453">
        <f>SUM(T48,T46,T44,T42,T38,T36)</f>
        <v>0</v>
      </c>
      <c r="U50" s="453">
        <f>SUM(U48,U46,U44,U42,U38,U36)</f>
        <v>8</v>
      </c>
      <c r="V50" s="453">
        <f>SUM(V48,V46,V44,V42,V38,V36)</f>
        <v>0</v>
      </c>
      <c r="W50" s="462"/>
      <c r="X50" s="453">
        <f>SUM(X48,X46,X44,X42,X38,X36)</f>
        <v>4</v>
      </c>
      <c r="Y50" s="460"/>
      <c r="Z50" s="463">
        <f>SUM(Z48:Z49,Z46,Z44,Z41,Z40,Z38,Z36)/7</f>
        <v>59.571428571428569</v>
      </c>
      <c r="AA50" s="528">
        <f>SUM(AA36,AA38,AA40,AA41,AA44,AA46,AA48)/7</f>
        <v>6.5714285714285712</v>
      </c>
      <c r="AB50" s="457"/>
      <c r="AC50" s="463">
        <f>SUM(AC38,AC40,AC41,AC46,AC48)/5</f>
        <v>55</v>
      </c>
      <c r="AD50" s="530">
        <f>SUM(AD48,AD46,AD44,AD41,AD40)/5</f>
        <v>10.8</v>
      </c>
      <c r="AE50" s="529">
        <f>SUM(AE48,AE46,AE44,AE42,AE38,AE36)/5</f>
        <v>50.8</v>
      </c>
      <c r="AF50" s="214"/>
    </row>
    <row r="51" spans="1:32" s="162" customFormat="1" ht="26.25" customHeight="1" thickBot="1" x14ac:dyDescent="0.25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252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245"/>
      <c r="D52" s="117" t="s">
        <v>90</v>
      </c>
      <c r="E52" s="158">
        <f>SUM(E50,E34,E28)</f>
        <v>310</v>
      </c>
      <c r="F52" s="158">
        <f>SUM(F50,F34,F28)</f>
        <v>310</v>
      </c>
      <c r="G52" s="148"/>
      <c r="H52" s="157">
        <f>SUM(H50,H34,H28)</f>
        <v>8397</v>
      </c>
      <c r="I52" s="250">
        <f>SUM(I50,I34,I28)</f>
        <v>683</v>
      </c>
      <c r="J52" s="246"/>
      <c r="K52" s="384">
        <f>SUM(K50,K34,K28)</f>
        <v>-301</v>
      </c>
      <c r="L52" s="531">
        <f>SUM(K52/A52*100)</f>
        <v>-3.4605656472752355</v>
      </c>
      <c r="M52" s="385">
        <f>SUM(M50,M34,M28)</f>
        <v>8382</v>
      </c>
      <c r="N52" s="375">
        <f>SUM(N50,N34,N28)</f>
        <v>15</v>
      </c>
      <c r="O52" s="247"/>
      <c r="P52" s="157">
        <f>SUM(P50,P34,P28)</f>
        <v>133</v>
      </c>
      <c r="Q52" s="159">
        <f>SUM(Q50,Q34,Q28)</f>
        <v>19</v>
      </c>
      <c r="R52" s="526"/>
      <c r="S52" s="159">
        <f>SUM(S50,S34,S28)</f>
        <v>192</v>
      </c>
      <c r="T52" s="159">
        <f>SUM(T50,T34,T28)</f>
        <v>0</v>
      </c>
      <c r="U52" s="159">
        <f>SUM(U50,U34,U28)</f>
        <v>214</v>
      </c>
      <c r="V52" s="159">
        <f>SUM(V50,V34,V28)</f>
        <v>0</v>
      </c>
      <c r="W52" s="526"/>
      <c r="X52" s="158">
        <f>SUM(X50,X34,X28)</f>
        <v>43</v>
      </c>
      <c r="Y52" s="247"/>
      <c r="Z52" s="248">
        <f>SUM(Z50,Z34,Z28)/3</f>
        <v>68.373809523809527</v>
      </c>
      <c r="AA52" s="250">
        <f>SUM(AA50,AA34,AA28)/3</f>
        <v>14.223809523809523</v>
      </c>
      <c r="AB52" s="606">
        <f t="shared" ref="AB52:AE52" si="5">SUM(AB50,AB34,AB28)/3</f>
        <v>0</v>
      </c>
      <c r="AC52" s="248">
        <f t="shared" si="5"/>
        <v>55.686274509803923</v>
      </c>
      <c r="AD52" s="249">
        <f t="shared" si="5"/>
        <v>12.067836257309942</v>
      </c>
      <c r="AE52" s="250">
        <f t="shared" si="5"/>
        <v>63.69941520467836</v>
      </c>
      <c r="AF52" s="251"/>
    </row>
    <row r="53" spans="1:32" s="166" customFormat="1" x14ac:dyDescent="0.2">
      <c r="A53" s="253"/>
      <c r="B53" s="254"/>
      <c r="C53" s="255"/>
      <c r="D53" s="256"/>
      <c r="E53" s="254"/>
      <c r="F53" s="256"/>
      <c r="G53" s="257"/>
      <c r="H53" s="253"/>
      <c r="I53" s="258"/>
      <c r="J53" s="258"/>
      <c r="K53" s="259" t="s">
        <v>30</v>
      </c>
      <c r="L53" s="260" t="s">
        <v>0</v>
      </c>
      <c r="M53" s="364"/>
      <c r="N53" s="364"/>
      <c r="O53" s="261"/>
      <c r="P53" s="262"/>
      <c r="Q53" s="262"/>
      <c r="R53" s="262"/>
      <c r="S53" s="262"/>
      <c r="T53" s="262"/>
      <c r="U53" s="262"/>
      <c r="V53" s="262"/>
      <c r="W53" s="262"/>
      <c r="X53" s="262"/>
      <c r="Y53" s="261"/>
      <c r="Z53" s="253" t="s">
        <v>0</v>
      </c>
      <c r="AA53" s="263" t="s">
        <v>0</v>
      </c>
      <c r="AB53" s="258"/>
      <c r="AC53" s="541" t="s">
        <v>0</v>
      </c>
      <c r="AD53" s="541"/>
      <c r="AE53" s="541"/>
      <c r="AF53" s="258"/>
    </row>
    <row r="54" spans="1:32" s="166" customFormat="1" x14ac:dyDescent="0.2">
      <c r="A54" s="253"/>
      <c r="B54" s="254"/>
      <c r="C54" s="254"/>
      <c r="D54" s="256"/>
      <c r="E54" s="254" t="s">
        <v>0</v>
      </c>
      <c r="F54" s="256"/>
      <c r="G54" s="256"/>
      <c r="H54" s="253"/>
      <c r="I54" s="258"/>
      <c r="J54" s="258"/>
      <c r="K54" s="721" t="s">
        <v>33</v>
      </c>
      <c r="L54" s="721"/>
      <c r="M54" s="364"/>
      <c r="N54" s="364"/>
      <c r="O54" s="261"/>
      <c r="P54" s="262"/>
      <c r="Q54" s="262"/>
      <c r="R54" s="262"/>
      <c r="S54" s="262"/>
      <c r="T54" s="262"/>
      <c r="U54" s="262"/>
      <c r="V54" s="262"/>
      <c r="W54" s="262"/>
      <c r="X54" s="262"/>
      <c r="Y54" s="261"/>
      <c r="Z54" s="264"/>
      <c r="AA54" s="263"/>
      <c r="AB54" s="258"/>
      <c r="AC54" s="391" t="s">
        <v>0</v>
      </c>
      <c r="AD54" s="265"/>
      <c r="AE54" s="265"/>
      <c r="AF54" s="258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honeticPr fontId="31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zoomScaleNormal="100" workbookViewId="0">
      <pane xSplit="4" ySplit="5" topLeftCell="E48" activePane="bottomRight" state="frozen"/>
      <selection pane="topRight" activeCell="E1" sqref="E1"/>
      <selection pane="bottomLeft" activeCell="A11" sqref="A11"/>
      <selection pane="bottomRight" activeCell="D53" sqref="D53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98"/>
      <c r="Z2" s="698"/>
      <c r="AA2" s="698"/>
      <c r="AB2" s="698"/>
      <c r="AC2" s="698"/>
      <c r="AD2" s="698"/>
      <c r="AE2" s="698"/>
      <c r="AF2" s="698"/>
    </row>
    <row r="3" spans="1:34" s="6" customFormat="1" ht="30" customHeight="1" x14ac:dyDescent="0.2">
      <c r="A3" s="322" t="s">
        <v>82</v>
      </c>
      <c r="B3" s="137"/>
      <c r="C3" s="30"/>
      <c r="D3" s="699" t="s">
        <v>61</v>
      </c>
      <c r="E3" s="715" t="s">
        <v>62</v>
      </c>
      <c r="F3" s="716"/>
      <c r="G3" s="31"/>
      <c r="H3" s="717" t="s">
        <v>84</v>
      </c>
      <c r="I3" s="718"/>
      <c r="J3" s="30"/>
      <c r="K3" s="705" t="s">
        <v>36</v>
      </c>
      <c r="L3" s="706"/>
      <c r="M3" s="366" t="s">
        <v>71</v>
      </c>
      <c r="N3" s="719" t="s">
        <v>73</v>
      </c>
      <c r="O3" s="32"/>
      <c r="P3" s="709" t="s">
        <v>69</v>
      </c>
      <c r="Q3" s="710"/>
      <c r="R3" s="710"/>
      <c r="S3" s="710"/>
      <c r="T3" s="710"/>
      <c r="U3" s="710"/>
      <c r="V3" s="710"/>
      <c r="W3" s="710"/>
      <c r="X3" s="711"/>
      <c r="Y3" s="32"/>
      <c r="Z3" s="712" t="s">
        <v>60</v>
      </c>
      <c r="AA3" s="713"/>
      <c r="AB3" s="714"/>
      <c r="AC3" s="714"/>
      <c r="AD3" s="714"/>
      <c r="AE3" s="714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700"/>
      <c r="E4" s="377" t="s">
        <v>76</v>
      </c>
      <c r="F4" s="378" t="s">
        <v>83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720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9</v>
      </c>
      <c r="G6" s="420"/>
      <c r="H6" s="502">
        <v>199</v>
      </c>
      <c r="I6" s="465">
        <v>33</v>
      </c>
      <c r="J6" s="423"/>
      <c r="K6" s="470">
        <f t="shared" ref="K6:K24" si="0">H6-A6</f>
        <v>-7</v>
      </c>
      <c r="L6" s="471">
        <f t="shared" ref="L6:L24" si="1">SUM(K6/A6*100)</f>
        <v>-3.3980582524271843</v>
      </c>
      <c r="M6" s="503">
        <f t="shared" ref="M6:M24" si="2">SUM(A6+P6-S6-U6-X6)</f>
        <v>199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2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73</v>
      </c>
      <c r="AA6" s="465">
        <v>22</v>
      </c>
      <c r="AB6" s="423"/>
      <c r="AC6" s="506">
        <v>44</v>
      </c>
      <c r="AD6" s="507">
        <v>11</v>
      </c>
      <c r="AE6" s="508">
        <v>69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15</v>
      </c>
      <c r="G7" s="22"/>
      <c r="H7" s="44">
        <v>426</v>
      </c>
      <c r="I7" s="62">
        <v>40</v>
      </c>
      <c r="J7" s="45"/>
      <c r="K7" s="78">
        <f t="shared" si="0"/>
        <v>-16</v>
      </c>
      <c r="L7" s="79">
        <f t="shared" si="1"/>
        <v>-3.6199095022624439</v>
      </c>
      <c r="M7" s="380">
        <f t="shared" si="2"/>
        <v>426</v>
      </c>
      <c r="N7" s="371">
        <f t="shared" si="3"/>
        <v>0</v>
      </c>
      <c r="O7" s="28"/>
      <c r="P7" s="38">
        <v>3</v>
      </c>
      <c r="Q7" s="7">
        <v>2</v>
      </c>
      <c r="R7" s="125"/>
      <c r="S7" s="42">
        <v>6</v>
      </c>
      <c r="T7" s="7">
        <v>0</v>
      </c>
      <c r="U7" s="43">
        <v>13</v>
      </c>
      <c r="V7" s="7">
        <v>0</v>
      </c>
      <c r="W7" s="125"/>
      <c r="X7" s="41">
        <v>0</v>
      </c>
      <c r="Y7" s="28"/>
      <c r="Z7" s="484">
        <v>69</v>
      </c>
      <c r="AA7" s="62">
        <v>19</v>
      </c>
      <c r="AB7" s="45"/>
      <c r="AC7" s="71">
        <v>60</v>
      </c>
      <c r="AD7" s="51">
        <v>11</v>
      </c>
      <c r="AE7" s="510">
        <v>63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9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248</v>
      </c>
      <c r="N8" s="371">
        <f t="shared" si="3"/>
        <v>-1</v>
      </c>
      <c r="O8" s="28"/>
      <c r="P8" s="38">
        <v>2</v>
      </c>
      <c r="Q8" s="7">
        <v>0</v>
      </c>
      <c r="R8" s="125"/>
      <c r="S8" s="39">
        <v>3</v>
      </c>
      <c r="T8" s="7">
        <v>0</v>
      </c>
      <c r="U8" s="43">
        <v>8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75</v>
      </c>
      <c r="AD8" s="51">
        <v>12</v>
      </c>
      <c r="AE8" s="510">
        <v>59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7</v>
      </c>
      <c r="G9" s="22"/>
      <c r="H9" s="44">
        <v>154</v>
      </c>
      <c r="I9" s="62">
        <v>28</v>
      </c>
      <c r="J9" s="45"/>
      <c r="K9" s="78">
        <f t="shared" si="0"/>
        <v>-4</v>
      </c>
      <c r="L9" s="79">
        <f t="shared" si="1"/>
        <v>-2.5316455696202533</v>
      </c>
      <c r="M9" s="380">
        <f t="shared" si="2"/>
        <v>154</v>
      </c>
      <c r="N9" s="371">
        <f t="shared" si="3"/>
        <v>0</v>
      </c>
      <c r="O9" s="28"/>
      <c r="P9" s="38">
        <v>1</v>
      </c>
      <c r="Q9" s="7">
        <v>0</v>
      </c>
      <c r="R9" s="125"/>
      <c r="S9" s="39">
        <v>0</v>
      </c>
      <c r="T9" s="7">
        <v>0</v>
      </c>
      <c r="U9" s="43">
        <v>5</v>
      </c>
      <c r="V9" s="7">
        <v>0</v>
      </c>
      <c r="W9" s="125"/>
      <c r="X9" s="41">
        <v>0</v>
      </c>
      <c r="Y9" s="28"/>
      <c r="Z9" s="484">
        <v>70</v>
      </c>
      <c r="AA9" s="62">
        <v>20</v>
      </c>
      <c r="AB9" s="45"/>
      <c r="AC9" s="71">
        <v>61</v>
      </c>
      <c r="AD9" s="107">
        <v>0</v>
      </c>
      <c r="AE9" s="511">
        <v>0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10</v>
      </c>
      <c r="G10" s="22"/>
      <c r="H10" s="44">
        <v>310</v>
      </c>
      <c r="I10" s="62">
        <v>27</v>
      </c>
      <c r="J10" s="45"/>
      <c r="K10" s="78">
        <f t="shared" si="0"/>
        <v>-16</v>
      </c>
      <c r="L10" s="79">
        <f t="shared" si="1"/>
        <v>-4.9079754601226995</v>
      </c>
      <c r="M10" s="380">
        <f t="shared" si="2"/>
        <v>311</v>
      </c>
      <c r="N10" s="371">
        <f t="shared" si="3"/>
        <v>-1</v>
      </c>
      <c r="O10" s="28"/>
      <c r="P10" s="38">
        <v>1</v>
      </c>
      <c r="Q10" s="7">
        <v>1</v>
      </c>
      <c r="R10" s="125"/>
      <c r="S10" s="42">
        <v>4</v>
      </c>
      <c r="T10" s="7">
        <v>0</v>
      </c>
      <c r="U10" s="43">
        <v>9</v>
      </c>
      <c r="V10" s="7">
        <v>0</v>
      </c>
      <c r="W10" s="125"/>
      <c r="X10" s="41">
        <v>3</v>
      </c>
      <c r="Y10" s="28"/>
      <c r="Z10" s="484">
        <v>72</v>
      </c>
      <c r="AA10" s="62">
        <v>21</v>
      </c>
      <c r="AB10" s="45"/>
      <c r="AC10" s="71">
        <v>46</v>
      </c>
      <c r="AD10" s="51">
        <v>15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16</v>
      </c>
      <c r="G11" s="22"/>
      <c r="H11" s="44">
        <v>292</v>
      </c>
      <c r="I11" s="62">
        <v>30</v>
      </c>
      <c r="J11" s="45"/>
      <c r="K11" s="78">
        <f t="shared" si="0"/>
        <v>-16</v>
      </c>
      <c r="L11" s="79">
        <f t="shared" si="1"/>
        <v>-5.1948051948051948</v>
      </c>
      <c r="M11" s="380">
        <f t="shared" si="2"/>
        <v>292</v>
      </c>
      <c r="N11" s="371">
        <f t="shared" si="3"/>
        <v>0</v>
      </c>
      <c r="O11" s="28"/>
      <c r="P11" s="38">
        <v>0</v>
      </c>
      <c r="Q11" s="7">
        <v>0</v>
      </c>
      <c r="R11" s="125"/>
      <c r="S11" s="39">
        <v>8</v>
      </c>
      <c r="T11" s="7">
        <v>0</v>
      </c>
      <c r="U11" s="40">
        <v>8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0</v>
      </c>
      <c r="AD11" s="7">
        <v>18</v>
      </c>
      <c r="AE11" s="446">
        <v>65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22</v>
      </c>
      <c r="G12" s="22"/>
      <c r="H12" s="44">
        <v>648</v>
      </c>
      <c r="I12" s="62">
        <v>47</v>
      </c>
      <c r="J12" s="45"/>
      <c r="K12" s="78">
        <f t="shared" si="0"/>
        <v>-21</v>
      </c>
      <c r="L12" s="79">
        <f t="shared" si="1"/>
        <v>-3.1390134529147984</v>
      </c>
      <c r="M12" s="380">
        <f t="shared" si="2"/>
        <v>647</v>
      </c>
      <c r="N12" s="371">
        <f t="shared" si="3"/>
        <v>1</v>
      </c>
      <c r="O12" s="28"/>
      <c r="P12" s="38">
        <v>2</v>
      </c>
      <c r="Q12" s="7">
        <v>2</v>
      </c>
      <c r="R12" s="125"/>
      <c r="S12" s="42">
        <v>7</v>
      </c>
      <c r="T12" s="7">
        <v>0</v>
      </c>
      <c r="U12" s="43">
        <v>13</v>
      </c>
      <c r="V12" s="7">
        <v>0</v>
      </c>
      <c r="W12" s="125"/>
      <c r="X12" s="41">
        <v>4</v>
      </c>
      <c r="Y12" s="28"/>
      <c r="Z12" s="484">
        <v>71</v>
      </c>
      <c r="AA12" s="62">
        <v>22</v>
      </c>
      <c r="AB12" s="45"/>
      <c r="AC12" s="109">
        <v>45</v>
      </c>
      <c r="AD12" s="51">
        <v>15</v>
      </c>
      <c r="AE12" s="510">
        <v>65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13</v>
      </c>
      <c r="G13" s="22"/>
      <c r="H13" s="44">
        <v>301</v>
      </c>
      <c r="I13" s="62">
        <v>29</v>
      </c>
      <c r="J13" s="45"/>
      <c r="K13" s="78">
        <f t="shared" si="0"/>
        <v>-8</v>
      </c>
      <c r="L13" s="79">
        <f t="shared" si="1"/>
        <v>-2.5889967637540456</v>
      </c>
      <c r="M13" s="380">
        <f t="shared" si="2"/>
        <v>301</v>
      </c>
      <c r="N13" s="371">
        <f t="shared" si="3"/>
        <v>0</v>
      </c>
      <c r="O13" s="28"/>
      <c r="P13" s="38">
        <v>2</v>
      </c>
      <c r="Q13" s="7">
        <v>0</v>
      </c>
      <c r="R13" s="125"/>
      <c r="S13" s="39">
        <v>7</v>
      </c>
      <c r="T13" s="7">
        <v>0</v>
      </c>
      <c r="U13" s="43">
        <v>3</v>
      </c>
      <c r="V13" s="7">
        <v>0</v>
      </c>
      <c r="W13" s="125"/>
      <c r="X13" s="41">
        <v>0</v>
      </c>
      <c r="Y13" s="28"/>
      <c r="Z13" s="484">
        <v>71</v>
      </c>
      <c r="AA13" s="62">
        <v>23</v>
      </c>
      <c r="AB13" s="45"/>
      <c r="AC13" s="71">
        <v>56</v>
      </c>
      <c r="AD13" s="51">
        <v>11</v>
      </c>
      <c r="AE13" s="510">
        <v>62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18</v>
      </c>
      <c r="G14" s="22"/>
      <c r="H14" s="44">
        <v>589</v>
      </c>
      <c r="I14" s="62">
        <v>54</v>
      </c>
      <c r="J14" s="45"/>
      <c r="K14" s="395">
        <f t="shared" si="0"/>
        <v>1</v>
      </c>
      <c r="L14" s="396">
        <f t="shared" si="1"/>
        <v>0.17006802721088435</v>
      </c>
      <c r="M14" s="380">
        <f t="shared" si="2"/>
        <v>585</v>
      </c>
      <c r="N14" s="371">
        <f t="shared" si="3"/>
        <v>4</v>
      </c>
      <c r="O14" s="28"/>
      <c r="P14" s="38">
        <v>17</v>
      </c>
      <c r="Q14" s="7">
        <v>2</v>
      </c>
      <c r="R14" s="125"/>
      <c r="S14" s="42">
        <v>8</v>
      </c>
      <c r="T14" s="7">
        <v>0</v>
      </c>
      <c r="U14" s="43">
        <v>11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53</v>
      </c>
      <c r="AD14" s="7">
        <v>7</v>
      </c>
      <c r="AE14" s="446">
        <v>61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14</v>
      </c>
      <c r="G15" s="22"/>
      <c r="H15" s="44">
        <v>315</v>
      </c>
      <c r="I15" s="62">
        <v>27</v>
      </c>
      <c r="J15" s="45"/>
      <c r="K15" s="78">
        <f t="shared" si="0"/>
        <v>-18</v>
      </c>
      <c r="L15" s="79">
        <f t="shared" si="1"/>
        <v>-5.4054054054054053</v>
      </c>
      <c r="M15" s="380">
        <f t="shared" si="2"/>
        <v>317</v>
      </c>
      <c r="N15" s="371">
        <f t="shared" si="3"/>
        <v>-2</v>
      </c>
      <c r="O15" s="28"/>
      <c r="P15" s="38">
        <v>1</v>
      </c>
      <c r="Q15" s="7">
        <v>0</v>
      </c>
      <c r="R15" s="125"/>
      <c r="S15" s="39">
        <v>7</v>
      </c>
      <c r="T15" s="7">
        <v>0</v>
      </c>
      <c r="U15" s="43">
        <v>8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80</v>
      </c>
      <c r="AD15" s="51">
        <v>10</v>
      </c>
      <c r="AE15" s="510">
        <v>64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16</v>
      </c>
      <c r="G16" s="22"/>
      <c r="H16" s="44">
        <v>477</v>
      </c>
      <c r="I16" s="62">
        <v>26</v>
      </c>
      <c r="J16" s="45"/>
      <c r="K16" s="78">
        <f t="shared" si="0"/>
        <v>-10</v>
      </c>
      <c r="L16" s="79">
        <f t="shared" si="1"/>
        <v>-2.0533880903490758</v>
      </c>
      <c r="M16" s="380">
        <f t="shared" si="2"/>
        <v>477</v>
      </c>
      <c r="N16" s="371">
        <f t="shared" si="3"/>
        <v>0</v>
      </c>
      <c r="O16" s="28"/>
      <c r="P16" s="38">
        <v>11</v>
      </c>
      <c r="Q16" s="7">
        <v>0</v>
      </c>
      <c r="R16" s="125"/>
      <c r="S16" s="39">
        <v>8</v>
      </c>
      <c r="T16" s="7">
        <v>0</v>
      </c>
      <c r="U16" s="40">
        <v>9</v>
      </c>
      <c r="V16" s="7">
        <v>0</v>
      </c>
      <c r="W16" s="125"/>
      <c r="X16" s="41">
        <v>4</v>
      </c>
      <c r="Y16" s="28"/>
      <c r="Z16" s="484">
        <v>73</v>
      </c>
      <c r="AA16" s="62">
        <v>21</v>
      </c>
      <c r="AB16" s="45"/>
      <c r="AC16" s="71">
        <v>61</v>
      </c>
      <c r="AD16" s="51">
        <v>17</v>
      </c>
      <c r="AE16" s="510">
        <v>66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14</v>
      </c>
      <c r="G17" s="22"/>
      <c r="H17" s="44">
        <v>387</v>
      </c>
      <c r="I17" s="62">
        <v>41</v>
      </c>
      <c r="J17" s="45"/>
      <c r="K17" s="78">
        <f t="shared" si="0"/>
        <v>-7</v>
      </c>
      <c r="L17" s="79">
        <f t="shared" si="1"/>
        <v>-1.7766497461928936</v>
      </c>
      <c r="M17" s="380">
        <f t="shared" si="2"/>
        <v>386</v>
      </c>
      <c r="N17" s="371">
        <f t="shared" si="3"/>
        <v>1</v>
      </c>
      <c r="O17" s="28"/>
      <c r="P17" s="38">
        <v>3</v>
      </c>
      <c r="Q17" s="7">
        <v>1</v>
      </c>
      <c r="R17" s="125"/>
      <c r="S17" s="39">
        <v>8</v>
      </c>
      <c r="T17" s="7">
        <v>0</v>
      </c>
      <c r="U17" s="43">
        <v>3</v>
      </c>
      <c r="V17" s="7">
        <v>0</v>
      </c>
      <c r="W17" s="125"/>
      <c r="X17" s="41">
        <v>0</v>
      </c>
      <c r="Y17" s="28"/>
      <c r="Z17" s="484">
        <v>72</v>
      </c>
      <c r="AA17" s="62">
        <v>21</v>
      </c>
      <c r="AB17" s="45"/>
      <c r="AC17" s="109">
        <v>73</v>
      </c>
      <c r="AD17" s="7">
        <v>23</v>
      </c>
      <c r="AE17" s="446">
        <v>66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7</v>
      </c>
      <c r="G18" s="22"/>
      <c r="H18" s="44">
        <v>174</v>
      </c>
      <c r="I18" s="62">
        <v>20</v>
      </c>
      <c r="J18" s="45"/>
      <c r="K18" s="78">
        <f t="shared" si="0"/>
        <v>-7</v>
      </c>
      <c r="L18" s="79">
        <f t="shared" si="1"/>
        <v>-3.867403314917127</v>
      </c>
      <c r="M18" s="380">
        <f t="shared" si="2"/>
        <v>174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4</v>
      </c>
      <c r="T18" s="7">
        <v>0</v>
      </c>
      <c r="U18" s="43">
        <v>2</v>
      </c>
      <c r="V18" s="7">
        <v>0</v>
      </c>
      <c r="W18" s="125"/>
      <c r="X18" s="41">
        <v>1</v>
      </c>
      <c r="Y18" s="28"/>
      <c r="Z18" s="484">
        <v>71</v>
      </c>
      <c r="AA18" s="62">
        <v>20</v>
      </c>
      <c r="AB18" s="45"/>
      <c r="AC18" s="399">
        <v>0</v>
      </c>
      <c r="AD18" s="7">
        <v>10</v>
      </c>
      <c r="AE18" s="446">
        <v>72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13</v>
      </c>
      <c r="G19" s="22"/>
      <c r="H19" s="44">
        <v>399</v>
      </c>
      <c r="I19" s="62">
        <v>27</v>
      </c>
      <c r="J19" s="45"/>
      <c r="K19" s="78">
        <f t="shared" si="0"/>
        <v>-19</v>
      </c>
      <c r="L19" s="79">
        <f t="shared" si="1"/>
        <v>-4.5454545454545459</v>
      </c>
      <c r="M19" s="380">
        <f t="shared" si="2"/>
        <v>397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7</v>
      </c>
      <c r="T19" s="7">
        <v>0</v>
      </c>
      <c r="U19" s="43">
        <v>8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41</v>
      </c>
      <c r="AD19" s="7">
        <v>19</v>
      </c>
      <c r="AE19" s="446">
        <v>72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10</v>
      </c>
      <c r="G20" s="22"/>
      <c r="H20" s="44">
        <v>292</v>
      </c>
      <c r="I20" s="62">
        <v>9</v>
      </c>
      <c r="J20" s="45"/>
      <c r="K20" s="78">
        <f t="shared" si="0"/>
        <v>-7</v>
      </c>
      <c r="L20" s="79">
        <f t="shared" si="1"/>
        <v>-2.3411371237458192</v>
      </c>
      <c r="M20" s="380">
        <f t="shared" si="2"/>
        <v>291</v>
      </c>
      <c r="N20" s="371">
        <f t="shared" si="3"/>
        <v>1</v>
      </c>
      <c r="O20" s="28"/>
      <c r="P20" s="38">
        <v>1</v>
      </c>
      <c r="Q20" s="7">
        <v>0</v>
      </c>
      <c r="R20" s="125"/>
      <c r="S20" s="42">
        <v>4</v>
      </c>
      <c r="T20" s="7">
        <v>0</v>
      </c>
      <c r="U20" s="43">
        <v>5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51</v>
      </c>
      <c r="AD20" s="7">
        <v>19</v>
      </c>
      <c r="AE20" s="446">
        <v>69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10</v>
      </c>
      <c r="G21" s="22"/>
      <c r="H21" s="44">
        <v>313</v>
      </c>
      <c r="I21" s="62">
        <v>21</v>
      </c>
      <c r="J21" s="45"/>
      <c r="K21" s="78">
        <f t="shared" si="0"/>
        <v>-14</v>
      </c>
      <c r="L21" s="79">
        <f t="shared" si="1"/>
        <v>-4.281345565749235</v>
      </c>
      <c r="M21" s="380">
        <f t="shared" si="2"/>
        <v>312</v>
      </c>
      <c r="N21" s="371">
        <f t="shared" si="3"/>
        <v>1</v>
      </c>
      <c r="O21" s="28"/>
      <c r="P21" s="38">
        <v>2</v>
      </c>
      <c r="Q21" s="7">
        <v>0</v>
      </c>
      <c r="R21" s="125"/>
      <c r="S21" s="42">
        <v>10</v>
      </c>
      <c r="T21" s="7">
        <v>0</v>
      </c>
      <c r="U21" s="43">
        <v>6</v>
      </c>
      <c r="V21" s="7">
        <v>0</v>
      </c>
      <c r="W21" s="125"/>
      <c r="X21" s="41">
        <v>1</v>
      </c>
      <c r="Y21" s="28"/>
      <c r="Z21" s="484">
        <v>72</v>
      </c>
      <c r="AA21" s="62">
        <v>22</v>
      </c>
      <c r="AB21" s="45"/>
      <c r="AC21" s="109">
        <v>61</v>
      </c>
      <c r="AD21" s="7">
        <v>18</v>
      </c>
      <c r="AE21" s="446">
        <v>63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11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259</v>
      </c>
      <c r="N22" s="371">
        <f t="shared" si="3"/>
        <v>0</v>
      </c>
      <c r="O22" s="28"/>
      <c r="P22" s="38">
        <v>1</v>
      </c>
      <c r="Q22" s="7">
        <v>4</v>
      </c>
      <c r="R22" s="125"/>
      <c r="S22" s="42">
        <v>8</v>
      </c>
      <c r="T22" s="7">
        <v>0</v>
      </c>
      <c r="U22" s="43">
        <v>7</v>
      </c>
      <c r="V22" s="7">
        <v>0</v>
      </c>
      <c r="W22" s="125"/>
      <c r="X22" s="41">
        <v>1</v>
      </c>
      <c r="Y22" s="28"/>
      <c r="Z22" s="484">
        <v>74</v>
      </c>
      <c r="AA22" s="62">
        <v>24</v>
      </c>
      <c r="AB22" s="45"/>
      <c r="AC22" s="109">
        <v>44</v>
      </c>
      <c r="AD22" s="7">
        <v>15</v>
      </c>
      <c r="AE22" s="446">
        <v>70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21</v>
      </c>
      <c r="G23" s="22"/>
      <c r="H23" s="44">
        <v>738</v>
      </c>
      <c r="I23" s="62">
        <v>52</v>
      </c>
      <c r="J23" s="45"/>
      <c r="K23" s="78">
        <f t="shared" si="0"/>
        <v>-13</v>
      </c>
      <c r="L23" s="79">
        <f t="shared" si="1"/>
        <v>-1.7310252996005324</v>
      </c>
      <c r="M23" s="380">
        <f t="shared" si="2"/>
        <v>737</v>
      </c>
      <c r="N23" s="371">
        <f t="shared" si="3"/>
        <v>1</v>
      </c>
      <c r="O23" s="28"/>
      <c r="P23" s="38">
        <v>7</v>
      </c>
      <c r="Q23" s="7">
        <v>1</v>
      </c>
      <c r="R23" s="125"/>
      <c r="S23" s="42">
        <v>6</v>
      </c>
      <c r="T23" s="7">
        <v>0</v>
      </c>
      <c r="U23" s="43">
        <v>12</v>
      </c>
      <c r="V23" s="7">
        <v>0</v>
      </c>
      <c r="W23" s="125"/>
      <c r="X23" s="41">
        <v>3</v>
      </c>
      <c r="Y23" s="28"/>
      <c r="Z23" s="484">
        <v>69</v>
      </c>
      <c r="AA23" s="62">
        <v>18</v>
      </c>
      <c r="AB23" s="45"/>
      <c r="AC23" s="109">
        <v>51</v>
      </c>
      <c r="AD23" s="7">
        <v>12</v>
      </c>
      <c r="AE23" s="446">
        <v>61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8</v>
      </c>
      <c r="G24" s="22"/>
      <c r="H24" s="400">
        <v>151</v>
      </c>
      <c r="I24" s="401">
        <v>21</v>
      </c>
      <c r="J24" s="45"/>
      <c r="K24" s="534">
        <f t="shared" si="0"/>
        <v>0</v>
      </c>
      <c r="L24" s="535">
        <f t="shared" si="1"/>
        <v>0</v>
      </c>
      <c r="M24" s="405">
        <f t="shared" si="2"/>
        <v>151</v>
      </c>
      <c r="N24" s="373">
        <f t="shared" si="3"/>
        <v>0</v>
      </c>
      <c r="O24" s="28"/>
      <c r="P24" s="406">
        <v>4</v>
      </c>
      <c r="Q24" s="407">
        <v>3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19</v>
      </c>
      <c r="AB24" s="45"/>
      <c r="AC24" s="413">
        <v>46</v>
      </c>
      <c r="AD24" s="407">
        <v>3</v>
      </c>
      <c r="AE24" s="513">
        <v>67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43</v>
      </c>
      <c r="E26" s="147">
        <v>1</v>
      </c>
      <c r="F26" s="143">
        <v>1</v>
      </c>
      <c r="G26" s="22"/>
      <c r="H26" s="53">
        <v>89</v>
      </c>
      <c r="I26" s="72">
        <v>0</v>
      </c>
      <c r="J26" s="45"/>
      <c r="K26" s="95">
        <f>H26-A26</f>
        <v>-3</v>
      </c>
      <c r="L26" s="96">
        <f>SUM(K26/A26*100)</f>
        <v>-3.2608695652173911</v>
      </c>
      <c r="M26" s="374">
        <f>SUM(A26+P26-S26-U26-X26)</f>
        <v>89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3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73</v>
      </c>
      <c r="AA26" s="105">
        <v>26</v>
      </c>
      <c r="AB26" s="45"/>
      <c r="AC26" s="110">
        <v>0</v>
      </c>
      <c r="AD26" s="55">
        <v>16</v>
      </c>
      <c r="AE26" s="515">
        <v>71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244</v>
      </c>
      <c r="G28" s="456"/>
      <c r="H28" s="453">
        <f>SUM(H26,H6:H24)</f>
        <v>6760</v>
      </c>
      <c r="I28" s="516">
        <f>SUM(I26,I6:I24)</f>
        <v>572</v>
      </c>
      <c r="J28" s="457"/>
      <c r="K28" s="518">
        <f>SUM(K26,K6:K24)</f>
        <v>-210</v>
      </c>
      <c r="L28" s="519">
        <f>SUM(K28/A28*100)</f>
        <v>-3.0129124820659969</v>
      </c>
      <c r="M28" s="520">
        <f>SUM(M26,M6:M24)</f>
        <v>6753</v>
      </c>
      <c r="N28" s="459">
        <f>SUM(N26,N6:N24)</f>
        <v>7</v>
      </c>
      <c r="O28" s="460"/>
      <c r="P28" s="521">
        <f>SUM(P26,P6:P24)</f>
        <v>61</v>
      </c>
      <c r="Q28" s="522">
        <f>SUM(Q26,Q6:Q24)</f>
        <v>17</v>
      </c>
      <c r="R28" s="461"/>
      <c r="S28" s="523">
        <f>SUM(S26,S6:S24)</f>
        <v>112</v>
      </c>
      <c r="T28" s="523">
        <f t="shared" ref="T28:V28" si="4">SUM(T26,T6:T24)</f>
        <v>0</v>
      </c>
      <c r="U28" s="523">
        <f t="shared" si="4"/>
        <v>138</v>
      </c>
      <c r="V28" s="523">
        <f t="shared" si="4"/>
        <v>0</v>
      </c>
      <c r="W28" s="461"/>
      <c r="X28" s="517">
        <f>SUM(X26,X6:X24)</f>
        <v>28</v>
      </c>
      <c r="Y28" s="460"/>
      <c r="Z28" s="524">
        <f>SUM(Z26,Z6:Z24)/20</f>
        <v>71.2</v>
      </c>
      <c r="AA28" s="516">
        <f>SUM(AA26,AA6:AA24)/20</f>
        <v>21.6</v>
      </c>
      <c r="AB28" s="457"/>
      <c r="AC28" s="524">
        <f>SUM(AC26,AC6:AC24)/17</f>
        <v>55.764705882352942</v>
      </c>
      <c r="AD28" s="523">
        <f>SUM(AD26,AD6:AD24)/19</f>
        <v>13.789473684210526</v>
      </c>
      <c r="AE28" s="525">
        <f>SUM(AE26,AE6:AE24)/19</f>
        <v>65.578947368421055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12</v>
      </c>
      <c r="G30" s="420"/>
      <c r="H30" s="469">
        <v>369</v>
      </c>
      <c r="I30" s="465">
        <v>19</v>
      </c>
      <c r="J30" s="423"/>
      <c r="K30" s="470">
        <f>H30-A30</f>
        <v>-2</v>
      </c>
      <c r="L30" s="471">
        <f>SUM(K30/A30*100)</f>
        <v>-0.53908355795148255</v>
      </c>
      <c r="M30" s="472">
        <f>SUM(A30+P30-S30-U30-X30)</f>
        <v>369</v>
      </c>
      <c r="N30" s="473">
        <f>SUM(H30-M30)</f>
        <v>0</v>
      </c>
      <c r="O30" s="426"/>
      <c r="P30" s="474">
        <v>8</v>
      </c>
      <c r="Q30" s="475">
        <v>0</v>
      </c>
      <c r="R30" s="476"/>
      <c r="S30" s="477">
        <v>5</v>
      </c>
      <c r="T30" s="475">
        <v>0</v>
      </c>
      <c r="U30" s="478">
        <v>5</v>
      </c>
      <c r="V30" s="475">
        <v>0</v>
      </c>
      <c r="W30" s="479"/>
      <c r="X30" s="480">
        <v>0</v>
      </c>
      <c r="Y30" s="426"/>
      <c r="Z30" s="481">
        <v>75</v>
      </c>
      <c r="AA30" s="465">
        <v>16</v>
      </c>
      <c r="AB30" s="423"/>
      <c r="AC30" s="482">
        <v>59</v>
      </c>
      <c r="AD30" s="475">
        <v>16</v>
      </c>
      <c r="AE30" s="483">
        <v>77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398</v>
      </c>
      <c r="I31" s="62">
        <v>17</v>
      </c>
      <c r="J31" s="45"/>
      <c r="K31" s="78">
        <f>H31-A31</f>
        <v>-12</v>
      </c>
      <c r="L31" s="79">
        <f>SUM(K31/A31*100)</f>
        <v>-2.9268292682926833</v>
      </c>
      <c r="M31" s="370">
        <f>SUM(A31+P31-S31-U31-X31)</f>
        <v>395</v>
      </c>
      <c r="N31" s="371">
        <f>SUM(H31-M31)</f>
        <v>3</v>
      </c>
      <c r="O31" s="28"/>
      <c r="P31" s="38">
        <v>3</v>
      </c>
      <c r="Q31" s="7">
        <v>0</v>
      </c>
      <c r="R31" s="125"/>
      <c r="S31" s="42">
        <v>13</v>
      </c>
      <c r="T31" s="7">
        <v>0</v>
      </c>
      <c r="U31" s="43">
        <v>5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45</v>
      </c>
      <c r="AD31" s="7">
        <v>5</v>
      </c>
      <c r="AE31" s="446">
        <v>75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104</v>
      </c>
      <c r="I32" s="62">
        <v>13</v>
      </c>
      <c r="J32" s="45"/>
      <c r="K32" s="78">
        <f>H32-A32</f>
        <v>-5</v>
      </c>
      <c r="L32" s="79">
        <f>SUM(K32/A32*100)</f>
        <v>-4.5871559633027523</v>
      </c>
      <c r="M32" s="370">
        <f>SUM(A32+P32-S32-U32-X32)</f>
        <v>104</v>
      </c>
      <c r="N32" s="371">
        <f>SUM(H32-M32)</f>
        <v>0</v>
      </c>
      <c r="O32" s="28"/>
      <c r="P32" s="38">
        <v>0</v>
      </c>
      <c r="Q32" s="7">
        <v>0</v>
      </c>
      <c r="R32" s="125"/>
      <c r="S32" s="42">
        <v>4</v>
      </c>
      <c r="T32" s="7">
        <v>0</v>
      </c>
      <c r="U32" s="43">
        <v>1</v>
      </c>
      <c r="V32" s="7">
        <v>0</v>
      </c>
      <c r="W32" s="132"/>
      <c r="X32" s="41">
        <v>0</v>
      </c>
      <c r="Y32" s="28"/>
      <c r="Z32" s="484">
        <v>74</v>
      </c>
      <c r="AA32" s="62">
        <v>16</v>
      </c>
      <c r="AB32" s="45"/>
      <c r="AC32" s="152">
        <v>0</v>
      </c>
      <c r="AD32" s="7">
        <v>6</v>
      </c>
      <c r="AE32" s="446">
        <v>78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882</v>
      </c>
      <c r="I34" s="487">
        <f>SUM(I30:I33)</f>
        <v>49</v>
      </c>
      <c r="J34" s="457"/>
      <c r="K34" s="491">
        <f>H34-A34</f>
        <v>-19</v>
      </c>
      <c r="L34" s="492">
        <f>SUM(K34/A34*100)</f>
        <v>-2.1087680355160932</v>
      </c>
      <c r="M34" s="493">
        <f>SUM(M30:M33)</f>
        <v>879</v>
      </c>
      <c r="N34" s="494">
        <f>SUM(H34-M34)</f>
        <v>3</v>
      </c>
      <c r="O34" s="460"/>
      <c r="P34" s="490">
        <f>SUM(P30:P33)</f>
        <v>11</v>
      </c>
      <c r="Q34" s="495">
        <f>SUM(Q30:Q33)</f>
        <v>0</v>
      </c>
      <c r="R34" s="496"/>
      <c r="S34" s="495">
        <f>SUM(S30:S33)</f>
        <v>22</v>
      </c>
      <c r="T34" s="495">
        <f>SUM(T30:T33)</f>
        <v>0</v>
      </c>
      <c r="U34" s="495">
        <f>SUM(U30:U33)</f>
        <v>11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52</v>
      </c>
      <c r="AD34" s="499">
        <f>SUM(AD30:AD33)/3</f>
        <v>9</v>
      </c>
      <c r="AE34" s="500">
        <f>SUM(AE30:AE33)/3</f>
        <v>76.666666666666671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2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46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274</v>
      </c>
      <c r="I40" s="61">
        <v>6</v>
      </c>
      <c r="J40" s="45"/>
      <c r="K40" s="538">
        <f>H40-A40</f>
        <v>0</v>
      </c>
      <c r="L40" s="539">
        <f>SUM(K40/A40*100)</f>
        <v>0</v>
      </c>
      <c r="M40" s="368">
        <f>SUM(A40+P40-S40-U40-X40)</f>
        <v>274</v>
      </c>
      <c r="N40" s="369">
        <f>SUM(H40-M40)</f>
        <v>0</v>
      </c>
      <c r="O40" s="28"/>
      <c r="P40" s="80">
        <v>4</v>
      </c>
      <c r="Q40" s="81">
        <v>0</v>
      </c>
      <c r="R40" s="124"/>
      <c r="S40" s="92">
        <v>3</v>
      </c>
      <c r="T40" s="81">
        <v>0</v>
      </c>
      <c r="U40" s="93">
        <v>0</v>
      </c>
      <c r="V40" s="81">
        <v>0</v>
      </c>
      <c r="W40" s="131"/>
      <c r="X40" s="82">
        <v>1</v>
      </c>
      <c r="Y40" s="28"/>
      <c r="Z40" s="70">
        <v>61</v>
      </c>
      <c r="AA40" s="61">
        <v>5</v>
      </c>
      <c r="AB40" s="45"/>
      <c r="AC40" s="108">
        <v>63</v>
      </c>
      <c r="AD40" s="156">
        <v>5</v>
      </c>
      <c r="AE40" s="444">
        <v>68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117</v>
      </c>
      <c r="I41" s="62">
        <v>6</v>
      </c>
      <c r="J41" s="45"/>
      <c r="K41" s="395">
        <f>H41-A41</f>
        <v>11</v>
      </c>
      <c r="L41" s="396">
        <f>SUM(K41/A41*100)</f>
        <v>10.377358490566039</v>
      </c>
      <c r="M41" s="370">
        <f>SUM(A41+P41-S41-U41-X41)</f>
        <v>115</v>
      </c>
      <c r="N41" s="371">
        <f>SUM(H41-M41)</f>
        <v>2</v>
      </c>
      <c r="O41" s="28"/>
      <c r="P41" s="38">
        <v>15</v>
      </c>
      <c r="Q41" s="7">
        <v>0</v>
      </c>
      <c r="R41" s="125"/>
      <c r="S41" s="42">
        <v>6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53</v>
      </c>
      <c r="AA41" s="62">
        <v>2</v>
      </c>
      <c r="AB41" s="45"/>
      <c r="AC41" s="152">
        <v>60</v>
      </c>
      <c r="AD41" s="7">
        <v>3</v>
      </c>
      <c r="AE41" s="446">
        <v>55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391</v>
      </c>
      <c r="I42" s="287">
        <f>SUM(I40:I41)</f>
        <v>12</v>
      </c>
      <c r="J42" s="292"/>
      <c r="K42" s="293">
        <f>H42-A42</f>
        <v>11</v>
      </c>
      <c r="L42" s="294">
        <f>SUM(K42/A42*100)</f>
        <v>2.8947368421052633</v>
      </c>
      <c r="M42" s="372">
        <f>SUM(A42+P42-S42-U42-X42)</f>
        <v>389</v>
      </c>
      <c r="N42" s="373">
        <f>SUM(H42-M42)</f>
        <v>2</v>
      </c>
      <c r="O42" s="295"/>
      <c r="P42" s="296">
        <f>SUM(P40:P41)</f>
        <v>19</v>
      </c>
      <c r="Q42" s="297">
        <f>SUM(Q40:Q41)</f>
        <v>0</v>
      </c>
      <c r="R42" s="298"/>
      <c r="S42" s="299">
        <f>SUM(S40:S41)</f>
        <v>9</v>
      </c>
      <c r="T42" s="297">
        <f>SUM(T40:T41)</f>
        <v>0</v>
      </c>
      <c r="U42" s="300"/>
      <c r="V42" s="297">
        <f>SUM(V40:V41)</f>
        <v>0</v>
      </c>
      <c r="W42" s="301"/>
      <c r="X42" s="290">
        <f>SUM(X40:X41)</f>
        <v>1</v>
      </c>
      <c r="Y42" s="295"/>
      <c r="Z42" s="302">
        <f>SUM(Z40:Z41)/2</f>
        <v>57</v>
      </c>
      <c r="AA42" s="287">
        <f>SUM(AA40,AA41)/2</f>
        <v>3.5</v>
      </c>
      <c r="AB42" s="292"/>
      <c r="AC42" s="296">
        <f>SUM(AC41,AC40)/2</f>
        <v>61.5</v>
      </c>
      <c r="AD42" s="303">
        <f>SUM(AD41,AD40)/2</f>
        <v>4</v>
      </c>
      <c r="AE42" s="448">
        <f>SUM(AE41,AE40)/2</f>
        <v>61.5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143">
        <v>3</v>
      </c>
      <c r="G44" s="22"/>
      <c r="H44" s="306">
        <v>48</v>
      </c>
      <c r="I44" s="307">
        <v>15</v>
      </c>
      <c r="J44" s="309"/>
      <c r="K44" s="95">
        <f>H44-A44</f>
        <v>-9</v>
      </c>
      <c r="L44" s="383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5</v>
      </c>
      <c r="V44" s="312">
        <v>0</v>
      </c>
      <c r="W44" s="316"/>
      <c r="X44" s="143">
        <v>0</v>
      </c>
      <c r="Y44" s="310"/>
      <c r="Z44" s="317">
        <v>76</v>
      </c>
      <c r="AA44" s="307">
        <v>28</v>
      </c>
      <c r="AB44" s="309"/>
      <c r="AC44" s="318">
        <v>0</v>
      </c>
      <c r="AD44" s="319">
        <v>25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154</v>
      </c>
      <c r="I46" s="307">
        <v>32</v>
      </c>
      <c r="J46" s="309"/>
      <c r="K46" s="95">
        <f>H46-A46</f>
        <v>-5</v>
      </c>
      <c r="L46" s="383">
        <f>SUM(K46/A46*100)</f>
        <v>-3.1446540880503147</v>
      </c>
      <c r="M46" s="374">
        <f>SUM(A46+P46-S46-U46-X46)</f>
        <v>154</v>
      </c>
      <c r="N46" s="375">
        <f>SUM(H46-M46)</f>
        <v>0</v>
      </c>
      <c r="O46" s="310"/>
      <c r="P46" s="311">
        <v>6</v>
      </c>
      <c r="Q46" s="312">
        <v>0</v>
      </c>
      <c r="R46" s="313"/>
      <c r="S46" s="314">
        <v>9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69</v>
      </c>
      <c r="AA46" s="307">
        <v>15</v>
      </c>
      <c r="AB46" s="309"/>
      <c r="AC46" s="318">
        <v>65</v>
      </c>
      <c r="AD46" s="312">
        <v>14</v>
      </c>
      <c r="AE46" s="451">
        <v>69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117</v>
      </c>
      <c r="I48" s="307">
        <v>1</v>
      </c>
      <c r="J48" s="309"/>
      <c r="K48" s="95">
        <f>H48-A48</f>
        <v>-1</v>
      </c>
      <c r="L48" s="383">
        <f>SUM(K48/A48*100)</f>
        <v>-0.84745762711864403</v>
      </c>
      <c r="M48" s="374">
        <f>SUM(A48+P48-S48-U48-X48)</f>
        <v>118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62</v>
      </c>
      <c r="AA48" s="307">
        <v>14</v>
      </c>
      <c r="AB48" s="309"/>
      <c r="AC48" s="321">
        <v>44</v>
      </c>
      <c r="AD48" s="312">
        <v>5</v>
      </c>
      <c r="AE48" s="451">
        <v>44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SUM(H48,H46,H44,H42,H38,H36)</f>
        <v>829</v>
      </c>
      <c r="I50" s="453">
        <f>SUM(I48,I46,I44,I42,I38,I36)</f>
        <v>62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829</v>
      </c>
      <c r="N50" s="459">
        <f>SUM(H50-M50)</f>
        <v>0</v>
      </c>
      <c r="O50" s="460"/>
      <c r="P50" s="453">
        <f>SUM(P48,P46,P44,P42,P38,P36)</f>
        <v>32</v>
      </c>
      <c r="Q50" s="453">
        <f>SUM(Q48,Q46,Q44,Q42,Q38,Q36)</f>
        <v>2</v>
      </c>
      <c r="R50" s="461"/>
      <c r="S50" s="453">
        <f>SUM(S48,S46,S44,S42,S38,S36)</f>
        <v>22</v>
      </c>
      <c r="T50" s="453">
        <f>SUM(T48,T46,T44,T42,T38,T36)</f>
        <v>0</v>
      </c>
      <c r="U50" s="453">
        <f>SUM(U48,U46,U44,U42,U38,U36)</f>
        <v>6</v>
      </c>
      <c r="V50" s="453">
        <f>SUM(V48,V46,V44,V42,V38,V36)</f>
        <v>0</v>
      </c>
      <c r="W50" s="462"/>
      <c r="X50" s="453">
        <f>SUM(X48,X46,X44,X42,X38,X36)</f>
        <v>2</v>
      </c>
      <c r="Y50" s="460"/>
      <c r="Z50" s="463">
        <f>SUM(Z48:Z49,Z46,Z44,Z41,Z40,Z38,Z36)/7</f>
        <v>59.428571428571431</v>
      </c>
      <c r="AA50" s="528">
        <f>SUM(AA36,AA38,AA40,AA41,AA44,AA46,AA48)/7</f>
        <v>10</v>
      </c>
      <c r="AB50" s="457"/>
      <c r="AC50" s="463">
        <f>SUM(AC38,AC40,AC41,AC46,AC48)/5</f>
        <v>54.2</v>
      </c>
      <c r="AD50" s="530">
        <f>SUM(AD48,AD46,AD44,AD41,AD40)/5</f>
        <v>10.4</v>
      </c>
      <c r="AE50" s="529">
        <f>SUM(AE48,AE46,AE44,AE42,AE38,AE36)/5</f>
        <v>50.7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310</v>
      </c>
      <c r="G52" s="116"/>
      <c r="H52" s="157">
        <f>SUM(H50,H34,H28)</f>
        <v>8471</v>
      </c>
      <c r="I52" s="250">
        <f>SUM(I50,I34,I28)</f>
        <v>683</v>
      </c>
      <c r="J52" s="114"/>
      <c r="K52" s="384">
        <f>SUM(K50,K34,K28)</f>
        <v>-227</v>
      </c>
      <c r="L52" s="531">
        <f>SUM(K52/A52*100)</f>
        <v>-2.6097953552540814</v>
      </c>
      <c r="M52" s="385">
        <f>SUM(M50,M34,M28)</f>
        <v>8461</v>
      </c>
      <c r="N52" s="375">
        <f>SUM(N50,N34,N28)</f>
        <v>10</v>
      </c>
      <c r="O52" s="112"/>
      <c r="P52" s="157">
        <f>SUM(P50,P34,P28)</f>
        <v>104</v>
      </c>
      <c r="Q52" s="159">
        <f>SUM(Q50,Q34,Q28)</f>
        <v>19</v>
      </c>
      <c r="R52" s="526"/>
      <c r="S52" s="159">
        <f>SUM(S50,S34,S28)</f>
        <v>156</v>
      </c>
      <c r="T52" s="159">
        <f>SUM(T50,T34,T28)</f>
        <v>0</v>
      </c>
      <c r="U52" s="159">
        <f>SUM(U50,U34,U28)</f>
        <v>155</v>
      </c>
      <c r="V52" s="159">
        <f>SUM(V50,V34,V28)</f>
        <v>0</v>
      </c>
      <c r="W52" s="526"/>
      <c r="X52" s="158">
        <f>SUM(X50,X34,X28)</f>
        <v>30</v>
      </c>
      <c r="Y52" s="112"/>
      <c r="Z52" s="248">
        <f>SUM(Z50,Z34,Z28)/3</f>
        <v>68.209523809523816</v>
      </c>
      <c r="AA52" s="250">
        <f>SUM(AA50,AA34,AA28)/3</f>
        <v>15.366666666666667</v>
      </c>
      <c r="AB52" s="527">
        <f t="shared" ref="AB52:AE52" si="5">SUM(AB50,AB34,AB28)/3</f>
        <v>0</v>
      </c>
      <c r="AC52" s="248">
        <f t="shared" si="5"/>
        <v>53.988235294117651</v>
      </c>
      <c r="AD52" s="249">
        <f t="shared" si="5"/>
        <v>11.063157894736841</v>
      </c>
      <c r="AE52" s="250">
        <f t="shared" si="5"/>
        <v>64.315204678362576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51" t="s">
        <v>0</v>
      </c>
      <c r="AD53" s="151"/>
      <c r="AE53" s="151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97" t="s">
        <v>33</v>
      </c>
      <c r="L54" s="697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E55" s="1" t="s">
        <v>0</v>
      </c>
      <c r="H55" s="1" t="s">
        <v>0</v>
      </c>
      <c r="K55" s="119" t="s">
        <v>0</v>
      </c>
    </row>
    <row r="56" spans="1:32" x14ac:dyDescent="0.2">
      <c r="E56" s="1" t="s">
        <v>0</v>
      </c>
    </row>
    <row r="57" spans="1:32" x14ac:dyDescent="0.2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topLeftCell="A7" workbookViewId="0">
      <pane xSplit="4" ySplit="4" topLeftCell="AD41" activePane="bottomRight" state="frozen"/>
      <selection activeCell="A7" sqref="A7"/>
      <selection pane="topRight" activeCell="E7" sqref="E7"/>
      <selection pane="bottomLeft" activeCell="A11" sqref="A11"/>
      <selection pane="bottomRight" activeCell="AD30" sqref="AD30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0.1640625" style="16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15" customHeight="1" x14ac:dyDescent="0.2">
      <c r="A1" s="160"/>
    </row>
    <row r="2" spans="1:34" ht="15" customHeight="1" x14ac:dyDescent="0.2">
      <c r="A2" s="160"/>
    </row>
    <row r="3" spans="1:34" ht="15" customHeight="1" x14ac:dyDescent="0.2">
      <c r="A3" s="160"/>
    </row>
    <row r="4" spans="1:34" ht="15" customHeight="1" x14ac:dyDescent="0.2">
      <c r="A4" s="160"/>
    </row>
    <row r="5" spans="1:34" ht="15" customHeight="1" x14ac:dyDescent="0.2">
      <c r="A5" s="160"/>
    </row>
    <row r="6" spans="1:34" ht="15" customHeight="1" x14ac:dyDescent="0.2">
      <c r="A6" s="160"/>
    </row>
    <row r="7" spans="1:34" ht="12.75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4"/>
      <c r="L7" s="164"/>
      <c r="M7" s="357"/>
      <c r="N7" s="357"/>
      <c r="O7" s="163"/>
      <c r="P7" s="164"/>
      <c r="Q7" s="164"/>
      <c r="R7" s="164"/>
      <c r="S7" s="164"/>
      <c r="T7" s="164"/>
      <c r="U7" s="164"/>
      <c r="V7" s="164"/>
      <c r="W7" s="164"/>
      <c r="X7" s="164"/>
      <c r="Y7" s="698"/>
      <c r="Z7" s="698"/>
      <c r="AA7" s="698"/>
      <c r="AB7" s="698"/>
      <c r="AC7" s="698"/>
      <c r="AD7" s="698"/>
      <c r="AE7" s="698"/>
      <c r="AF7" s="698"/>
    </row>
    <row r="8" spans="1:34" s="166" customFormat="1" ht="30" customHeight="1" x14ac:dyDescent="0.2">
      <c r="A8" s="358" t="s">
        <v>75</v>
      </c>
      <c r="B8" s="165"/>
      <c r="C8" s="30"/>
      <c r="D8" s="722" t="s">
        <v>61</v>
      </c>
      <c r="E8" s="724" t="s">
        <v>62</v>
      </c>
      <c r="F8" s="725"/>
      <c r="G8" s="31"/>
      <c r="H8" s="726" t="s">
        <v>78</v>
      </c>
      <c r="I8" s="727"/>
      <c r="J8" s="30"/>
      <c r="K8" s="728" t="s">
        <v>36</v>
      </c>
      <c r="L8" s="729"/>
      <c r="M8" s="366" t="s">
        <v>71</v>
      </c>
      <c r="N8" s="719" t="s">
        <v>73</v>
      </c>
      <c r="O8" s="32"/>
      <c r="P8" s="709" t="s">
        <v>69</v>
      </c>
      <c r="Q8" s="710"/>
      <c r="R8" s="710"/>
      <c r="S8" s="710"/>
      <c r="T8" s="710"/>
      <c r="U8" s="710"/>
      <c r="V8" s="710"/>
      <c r="W8" s="710"/>
      <c r="X8" s="711"/>
      <c r="Y8" s="32"/>
      <c r="Z8" s="712" t="s">
        <v>60</v>
      </c>
      <c r="AA8" s="731"/>
      <c r="AB8" s="732"/>
      <c r="AC8" s="732"/>
      <c r="AD8" s="732"/>
      <c r="AE8" s="732"/>
      <c r="AF8" s="30"/>
    </row>
    <row r="9" spans="1:34" s="166" customFormat="1" ht="38.25" x14ac:dyDescent="0.2">
      <c r="A9" s="167" t="s">
        <v>19</v>
      </c>
      <c r="B9" s="168" t="s">
        <v>45</v>
      </c>
      <c r="C9" s="169"/>
      <c r="D9" s="723"/>
      <c r="E9" s="387" t="s">
        <v>76</v>
      </c>
      <c r="F9" s="388" t="s">
        <v>77</v>
      </c>
      <c r="G9" s="170"/>
      <c r="H9" s="171" t="s">
        <v>20</v>
      </c>
      <c r="I9" s="168" t="s">
        <v>45</v>
      </c>
      <c r="J9" s="172"/>
      <c r="K9" s="173" t="s">
        <v>37</v>
      </c>
      <c r="L9" s="174" t="s">
        <v>18</v>
      </c>
      <c r="M9" s="367" t="s">
        <v>74</v>
      </c>
      <c r="N9" s="730"/>
      <c r="O9" s="175"/>
      <c r="P9" s="46" t="s">
        <v>21</v>
      </c>
      <c r="Q9" s="176" t="s">
        <v>22</v>
      </c>
      <c r="R9" s="177" t="s">
        <v>23</v>
      </c>
      <c r="S9" s="48" t="s">
        <v>24</v>
      </c>
      <c r="T9" s="176" t="s">
        <v>25</v>
      </c>
      <c r="U9" s="48" t="s">
        <v>26</v>
      </c>
      <c r="V9" s="176" t="s">
        <v>27</v>
      </c>
      <c r="W9" s="134" t="s">
        <v>28</v>
      </c>
      <c r="X9" s="49" t="s">
        <v>29</v>
      </c>
      <c r="Y9" s="175"/>
      <c r="Z9" s="178" t="s">
        <v>55</v>
      </c>
      <c r="AA9" s="178" t="s">
        <v>47</v>
      </c>
      <c r="AB9" s="172"/>
      <c r="AC9" s="178" t="s">
        <v>56</v>
      </c>
      <c r="AD9" s="178" t="s">
        <v>46</v>
      </c>
      <c r="AE9" s="178" t="s">
        <v>57</v>
      </c>
      <c r="AF9" s="172"/>
    </row>
    <row r="10" spans="1:34" s="166" customFormat="1" x14ac:dyDescent="0.2">
      <c r="A10" s="33"/>
      <c r="B10" s="169"/>
      <c r="C10" s="169"/>
      <c r="D10" s="170"/>
      <c r="E10" s="169"/>
      <c r="F10" s="170"/>
      <c r="G10" s="170"/>
      <c r="H10" s="172"/>
      <c r="I10" s="172"/>
      <c r="J10" s="172"/>
      <c r="K10" s="179"/>
      <c r="L10" s="180"/>
      <c r="M10" s="359"/>
      <c r="N10" s="359"/>
      <c r="O10" s="360"/>
      <c r="P10" s="24"/>
      <c r="Q10" s="181"/>
      <c r="R10" s="181"/>
      <c r="S10" s="23"/>
      <c r="T10" s="181"/>
      <c r="U10" s="23"/>
      <c r="V10" s="181"/>
      <c r="W10" s="23"/>
      <c r="X10" s="25"/>
      <c r="Y10" s="175"/>
      <c r="Z10" s="170"/>
      <c r="AA10" s="170"/>
      <c r="AB10" s="172"/>
      <c r="AC10" s="169"/>
      <c r="AD10" s="169"/>
      <c r="AE10" s="169"/>
      <c r="AF10" s="172"/>
    </row>
    <row r="11" spans="1:34" ht="21.75" customHeight="1" x14ac:dyDescent="0.2">
      <c r="A11" s="60">
        <v>206</v>
      </c>
      <c r="B11" s="182">
        <v>35</v>
      </c>
      <c r="C11" s="183"/>
      <c r="D11" s="184" t="s">
        <v>1</v>
      </c>
      <c r="E11" s="144">
        <v>9</v>
      </c>
      <c r="F11" s="144">
        <v>9</v>
      </c>
      <c r="G11" s="186"/>
      <c r="H11" s="60">
        <v>200</v>
      </c>
      <c r="I11" s="182">
        <v>33</v>
      </c>
      <c r="J11" s="187"/>
      <c r="K11" s="188">
        <f t="shared" ref="K11:K30" si="0">H11-A11</f>
        <v>-6</v>
      </c>
      <c r="L11" s="189">
        <f t="shared" ref="L11:L30" si="1">SUM(K11/A11*100)</f>
        <v>-2.912621359223301</v>
      </c>
      <c r="M11" s="379">
        <f t="shared" ref="M11:M30" si="2">SUM(A11+P11-S11-U11-X11)</f>
        <v>200</v>
      </c>
      <c r="N11" s="369">
        <f t="shared" ref="N11:N30" si="3">SUM(H11-M11)</f>
        <v>0</v>
      </c>
      <c r="O11" s="175"/>
      <c r="P11" s="80">
        <v>0</v>
      </c>
      <c r="Q11" s="201">
        <v>0</v>
      </c>
      <c r="R11" s="124"/>
      <c r="S11" s="191">
        <v>2</v>
      </c>
      <c r="T11" s="201">
        <v>0</v>
      </c>
      <c r="U11" s="192">
        <v>4</v>
      </c>
      <c r="V11" s="201">
        <v>0</v>
      </c>
      <c r="W11" s="124"/>
      <c r="X11" s="193">
        <v>0</v>
      </c>
      <c r="Y11" s="175"/>
      <c r="Z11" s="185">
        <v>73</v>
      </c>
      <c r="AA11" s="182">
        <v>22</v>
      </c>
      <c r="AB11" s="187"/>
      <c r="AC11" s="185">
        <v>0</v>
      </c>
      <c r="AD11" s="194">
        <v>13</v>
      </c>
      <c r="AE11" s="182">
        <v>69</v>
      </c>
      <c r="AF11" s="187"/>
      <c r="AH11" s="195" t="s">
        <v>0</v>
      </c>
    </row>
    <row r="12" spans="1:34" ht="21.75" customHeight="1" x14ac:dyDescent="0.2">
      <c r="A12" s="44">
        <v>442</v>
      </c>
      <c r="B12" s="196">
        <v>38</v>
      </c>
      <c r="C12" s="183"/>
      <c r="D12" s="197" t="s">
        <v>2</v>
      </c>
      <c r="E12" s="145">
        <v>15</v>
      </c>
      <c r="F12" s="145">
        <v>15</v>
      </c>
      <c r="G12" s="186"/>
      <c r="H12" s="44">
        <v>435</v>
      </c>
      <c r="I12" s="196">
        <v>40</v>
      </c>
      <c r="J12" s="187"/>
      <c r="K12" s="199">
        <f t="shared" si="0"/>
        <v>-7</v>
      </c>
      <c r="L12" s="200">
        <f t="shared" si="1"/>
        <v>-1.5837104072398189</v>
      </c>
      <c r="M12" s="389">
        <f t="shared" si="2"/>
        <v>435</v>
      </c>
      <c r="N12" s="371">
        <f t="shared" si="3"/>
        <v>0</v>
      </c>
      <c r="O12" s="175"/>
      <c r="P12" s="38">
        <v>1</v>
      </c>
      <c r="Q12" s="201">
        <v>0</v>
      </c>
      <c r="R12" s="202"/>
      <c r="S12" s="203">
        <v>3</v>
      </c>
      <c r="T12" s="201">
        <v>0</v>
      </c>
      <c r="U12" s="204">
        <v>5</v>
      </c>
      <c r="V12" s="201">
        <v>0</v>
      </c>
      <c r="W12" s="202"/>
      <c r="X12" s="205">
        <v>0</v>
      </c>
      <c r="Y12" s="175"/>
      <c r="Z12" s="198">
        <v>69</v>
      </c>
      <c r="AA12" s="196">
        <v>19</v>
      </c>
      <c r="AB12" s="187"/>
      <c r="AC12" s="198">
        <v>47</v>
      </c>
      <c r="AD12" s="206">
        <v>21</v>
      </c>
      <c r="AE12" s="196">
        <v>64</v>
      </c>
      <c r="AF12" s="187"/>
    </row>
    <row r="13" spans="1:34" ht="21.75" customHeight="1" x14ac:dyDescent="0.2">
      <c r="A13" s="44">
        <v>257</v>
      </c>
      <c r="B13" s="196">
        <v>14</v>
      </c>
      <c r="C13" s="183"/>
      <c r="D13" s="197" t="s">
        <v>34</v>
      </c>
      <c r="E13" s="145">
        <v>9</v>
      </c>
      <c r="F13" s="145">
        <v>9</v>
      </c>
      <c r="G13" s="186"/>
      <c r="H13" s="44">
        <v>246</v>
      </c>
      <c r="I13" s="196">
        <v>13</v>
      </c>
      <c r="J13" s="187"/>
      <c r="K13" s="199">
        <f t="shared" si="0"/>
        <v>-11</v>
      </c>
      <c r="L13" s="200">
        <f t="shared" si="1"/>
        <v>-4.2801556420233462</v>
      </c>
      <c r="M13" s="389">
        <f t="shared" si="2"/>
        <v>247</v>
      </c>
      <c r="N13" s="371">
        <f t="shared" si="3"/>
        <v>-1</v>
      </c>
      <c r="O13" s="175"/>
      <c r="P13" s="38">
        <v>0</v>
      </c>
      <c r="Q13" s="201">
        <v>0</v>
      </c>
      <c r="R13" s="202"/>
      <c r="S13" s="207">
        <v>3</v>
      </c>
      <c r="T13" s="201">
        <v>0</v>
      </c>
      <c r="U13" s="204">
        <v>7</v>
      </c>
      <c r="V13" s="201">
        <v>0</v>
      </c>
      <c r="W13" s="202"/>
      <c r="X13" s="205">
        <v>0</v>
      </c>
      <c r="Y13" s="175"/>
      <c r="Z13" s="198">
        <v>71</v>
      </c>
      <c r="AA13" s="196">
        <v>23</v>
      </c>
      <c r="AB13" s="187"/>
      <c r="AC13" s="267">
        <v>0</v>
      </c>
      <c r="AD13" s="206">
        <v>13</v>
      </c>
      <c r="AE13" s="196">
        <v>59</v>
      </c>
      <c r="AF13" s="187"/>
    </row>
    <row r="14" spans="1:34" ht="21.75" customHeight="1" x14ac:dyDescent="0.2">
      <c r="A14" s="44">
        <v>158</v>
      </c>
      <c r="B14" s="196">
        <v>30</v>
      </c>
      <c r="C14" s="183"/>
      <c r="D14" s="197" t="s">
        <v>35</v>
      </c>
      <c r="E14" s="145">
        <v>7</v>
      </c>
      <c r="F14" s="145">
        <v>7</v>
      </c>
      <c r="G14" s="186"/>
      <c r="H14" s="44">
        <v>157</v>
      </c>
      <c r="I14" s="196">
        <v>28</v>
      </c>
      <c r="J14" s="187"/>
      <c r="K14" s="199">
        <f t="shared" si="0"/>
        <v>-1</v>
      </c>
      <c r="L14" s="200">
        <f t="shared" si="1"/>
        <v>-0.63291139240506333</v>
      </c>
      <c r="M14" s="389">
        <f t="shared" si="2"/>
        <v>157</v>
      </c>
      <c r="N14" s="371">
        <f t="shared" si="3"/>
        <v>0</v>
      </c>
      <c r="O14" s="175"/>
      <c r="P14" s="38">
        <v>0</v>
      </c>
      <c r="Q14" s="201">
        <v>0</v>
      </c>
      <c r="R14" s="202"/>
      <c r="S14" s="207">
        <v>0</v>
      </c>
      <c r="T14" s="201">
        <v>0</v>
      </c>
      <c r="U14" s="204">
        <v>1</v>
      </c>
      <c r="V14" s="201">
        <v>0</v>
      </c>
      <c r="W14" s="202"/>
      <c r="X14" s="205">
        <v>0</v>
      </c>
      <c r="Y14" s="175"/>
      <c r="Z14" s="198">
        <v>70</v>
      </c>
      <c r="AA14" s="196">
        <v>20</v>
      </c>
      <c r="AB14" s="187"/>
      <c r="AC14" s="198">
        <v>0</v>
      </c>
      <c r="AD14" s="208">
        <v>0</v>
      </c>
      <c r="AE14" s="209">
        <v>0</v>
      </c>
      <c r="AF14" s="187"/>
    </row>
    <row r="15" spans="1:34" ht="21.75" customHeight="1" x14ac:dyDescent="0.2">
      <c r="A15" s="44">
        <v>326</v>
      </c>
      <c r="B15" s="196">
        <v>27</v>
      </c>
      <c r="C15" s="183"/>
      <c r="D15" s="197" t="s">
        <v>3</v>
      </c>
      <c r="E15" s="145">
        <v>10</v>
      </c>
      <c r="F15" s="145">
        <v>10</v>
      </c>
      <c r="G15" s="186"/>
      <c r="H15" s="44">
        <v>313</v>
      </c>
      <c r="I15" s="196">
        <v>30</v>
      </c>
      <c r="J15" s="187"/>
      <c r="K15" s="199">
        <f t="shared" si="0"/>
        <v>-13</v>
      </c>
      <c r="L15" s="200">
        <f t="shared" si="1"/>
        <v>-3.9877300613496933</v>
      </c>
      <c r="M15" s="389">
        <f t="shared" si="2"/>
        <v>314</v>
      </c>
      <c r="N15" s="371">
        <f t="shared" si="3"/>
        <v>-1</v>
      </c>
      <c r="O15" s="175"/>
      <c r="P15" s="38">
        <v>0</v>
      </c>
      <c r="Q15" s="201">
        <v>0</v>
      </c>
      <c r="R15" s="202"/>
      <c r="S15" s="203">
        <v>3</v>
      </c>
      <c r="T15" s="201">
        <v>0</v>
      </c>
      <c r="U15" s="204">
        <v>6</v>
      </c>
      <c r="V15" s="201">
        <v>0</v>
      </c>
      <c r="W15" s="202"/>
      <c r="X15" s="205">
        <v>3</v>
      </c>
      <c r="Y15" s="175"/>
      <c r="Z15" s="198">
        <v>72</v>
      </c>
      <c r="AA15" s="196">
        <v>21</v>
      </c>
      <c r="AB15" s="187"/>
      <c r="AC15" s="198">
        <v>0</v>
      </c>
      <c r="AD15" s="206">
        <v>20</v>
      </c>
      <c r="AE15" s="196">
        <v>67</v>
      </c>
      <c r="AF15" s="187"/>
    </row>
    <row r="16" spans="1:34" ht="21.75" customHeight="1" x14ac:dyDescent="0.2">
      <c r="A16" s="44">
        <v>308</v>
      </c>
      <c r="B16" s="196">
        <v>35</v>
      </c>
      <c r="C16" s="183"/>
      <c r="D16" s="197" t="s">
        <v>4</v>
      </c>
      <c r="E16" s="145">
        <v>16</v>
      </c>
      <c r="F16" s="145">
        <v>16</v>
      </c>
      <c r="G16" s="186"/>
      <c r="H16" s="44">
        <v>298</v>
      </c>
      <c r="I16" s="196">
        <v>35</v>
      </c>
      <c r="J16" s="187"/>
      <c r="K16" s="199">
        <f t="shared" si="0"/>
        <v>-10</v>
      </c>
      <c r="L16" s="200">
        <f t="shared" si="1"/>
        <v>-3.2467532467532463</v>
      </c>
      <c r="M16" s="389">
        <f t="shared" si="2"/>
        <v>298</v>
      </c>
      <c r="N16" s="371">
        <f t="shared" si="3"/>
        <v>0</v>
      </c>
      <c r="O16" s="175"/>
      <c r="P16" s="38">
        <v>0</v>
      </c>
      <c r="Q16" s="201">
        <v>0</v>
      </c>
      <c r="R16" s="202"/>
      <c r="S16" s="207">
        <v>6</v>
      </c>
      <c r="T16" s="201">
        <v>0</v>
      </c>
      <c r="U16" s="210">
        <v>4</v>
      </c>
      <c r="V16" s="201">
        <v>0</v>
      </c>
      <c r="W16" s="202"/>
      <c r="X16" s="205">
        <v>0</v>
      </c>
      <c r="Y16" s="175"/>
      <c r="Z16" s="198">
        <v>72</v>
      </c>
      <c r="AA16" s="196">
        <v>23</v>
      </c>
      <c r="AB16" s="187"/>
      <c r="AC16" s="268">
        <v>0</v>
      </c>
      <c r="AD16" s="201">
        <v>18</v>
      </c>
      <c r="AE16" s="205">
        <v>61</v>
      </c>
      <c r="AF16" s="187"/>
    </row>
    <row r="17" spans="1:35" ht="21.75" customHeight="1" x14ac:dyDescent="0.2">
      <c r="A17" s="44">
        <v>669</v>
      </c>
      <c r="B17" s="196">
        <v>46</v>
      </c>
      <c r="C17" s="183"/>
      <c r="D17" s="197" t="s">
        <v>5</v>
      </c>
      <c r="E17" s="145">
        <v>22</v>
      </c>
      <c r="F17" s="145">
        <v>22</v>
      </c>
      <c r="G17" s="186"/>
      <c r="H17" s="44">
        <v>654</v>
      </c>
      <c r="I17" s="196">
        <v>46</v>
      </c>
      <c r="J17" s="187"/>
      <c r="K17" s="199">
        <f t="shared" si="0"/>
        <v>-15</v>
      </c>
      <c r="L17" s="200">
        <f t="shared" si="1"/>
        <v>-2.2421524663677128</v>
      </c>
      <c r="M17" s="389">
        <f t="shared" si="2"/>
        <v>653</v>
      </c>
      <c r="N17" s="371">
        <f t="shared" si="3"/>
        <v>1</v>
      </c>
      <c r="O17" s="175"/>
      <c r="P17" s="38">
        <v>1</v>
      </c>
      <c r="Q17" s="201">
        <v>0</v>
      </c>
      <c r="R17" s="202"/>
      <c r="S17" s="203">
        <v>6</v>
      </c>
      <c r="T17" s="201">
        <v>0</v>
      </c>
      <c r="U17" s="204">
        <v>8</v>
      </c>
      <c r="V17" s="201">
        <v>0</v>
      </c>
      <c r="W17" s="202"/>
      <c r="X17" s="205">
        <v>3</v>
      </c>
      <c r="Y17" s="175"/>
      <c r="Z17" s="198">
        <v>70</v>
      </c>
      <c r="AA17" s="196">
        <v>22</v>
      </c>
      <c r="AB17" s="187"/>
      <c r="AC17" s="211">
        <v>18</v>
      </c>
      <c r="AD17" s="206">
        <v>19</v>
      </c>
      <c r="AE17" s="196">
        <v>65</v>
      </c>
      <c r="AF17" s="187"/>
    </row>
    <row r="18" spans="1:35" ht="21.75" customHeight="1" x14ac:dyDescent="0.2">
      <c r="A18" s="44">
        <v>309</v>
      </c>
      <c r="B18" s="196">
        <v>30</v>
      </c>
      <c r="C18" s="183"/>
      <c r="D18" s="197" t="s">
        <v>6</v>
      </c>
      <c r="E18" s="145">
        <v>13</v>
      </c>
      <c r="F18" s="145">
        <v>13</v>
      </c>
      <c r="G18" s="186"/>
      <c r="H18" s="44">
        <v>302</v>
      </c>
      <c r="I18" s="196">
        <v>30</v>
      </c>
      <c r="J18" s="187"/>
      <c r="K18" s="199">
        <f t="shared" si="0"/>
        <v>-7</v>
      </c>
      <c r="L18" s="200">
        <f t="shared" si="1"/>
        <v>-2.2653721682847898</v>
      </c>
      <c r="M18" s="389">
        <f t="shared" si="2"/>
        <v>302</v>
      </c>
      <c r="N18" s="371">
        <f t="shared" si="3"/>
        <v>0</v>
      </c>
      <c r="O18" s="175"/>
      <c r="P18" s="38">
        <v>2</v>
      </c>
      <c r="Q18" s="201">
        <v>0</v>
      </c>
      <c r="R18" s="202"/>
      <c r="S18" s="207">
        <v>6</v>
      </c>
      <c r="T18" s="201">
        <v>0</v>
      </c>
      <c r="U18" s="204">
        <v>3</v>
      </c>
      <c r="V18" s="201">
        <v>0</v>
      </c>
      <c r="W18" s="202"/>
      <c r="X18" s="205">
        <v>0</v>
      </c>
      <c r="Y18" s="175"/>
      <c r="Z18" s="198">
        <v>71</v>
      </c>
      <c r="AA18" s="196">
        <v>23</v>
      </c>
      <c r="AB18" s="187"/>
      <c r="AC18" s="198">
        <v>56</v>
      </c>
      <c r="AD18" s="206">
        <v>15</v>
      </c>
      <c r="AE18" s="196">
        <v>64</v>
      </c>
      <c r="AF18" s="187"/>
    </row>
    <row r="19" spans="1:35" ht="21.75" customHeight="1" x14ac:dyDescent="0.2">
      <c r="A19" s="44">
        <v>588</v>
      </c>
      <c r="B19" s="196">
        <v>52</v>
      </c>
      <c r="C19" s="183"/>
      <c r="D19" s="197" t="s">
        <v>7</v>
      </c>
      <c r="E19" s="145">
        <v>18</v>
      </c>
      <c r="F19" s="145">
        <v>18</v>
      </c>
      <c r="G19" s="186"/>
      <c r="H19" s="44">
        <v>584</v>
      </c>
      <c r="I19" s="196">
        <v>53</v>
      </c>
      <c r="J19" s="187"/>
      <c r="K19" s="199">
        <f t="shared" si="0"/>
        <v>-4</v>
      </c>
      <c r="L19" s="200">
        <f t="shared" si="1"/>
        <v>-0.68027210884353739</v>
      </c>
      <c r="M19" s="389">
        <f t="shared" si="2"/>
        <v>581</v>
      </c>
      <c r="N19" s="371">
        <f t="shared" si="3"/>
        <v>3</v>
      </c>
      <c r="O19" s="175"/>
      <c r="P19" s="38">
        <v>10</v>
      </c>
      <c r="Q19" s="201">
        <v>0</v>
      </c>
      <c r="R19" s="202"/>
      <c r="S19" s="203">
        <v>8</v>
      </c>
      <c r="T19" s="201">
        <v>0</v>
      </c>
      <c r="U19" s="204">
        <v>8</v>
      </c>
      <c r="V19" s="201">
        <v>0</v>
      </c>
      <c r="W19" s="202"/>
      <c r="X19" s="205">
        <v>1</v>
      </c>
      <c r="Y19" s="175"/>
      <c r="Z19" s="198">
        <v>70</v>
      </c>
      <c r="AA19" s="196">
        <v>19</v>
      </c>
      <c r="AB19" s="187"/>
      <c r="AC19" s="198">
        <v>53</v>
      </c>
      <c r="AD19" s="201">
        <v>9</v>
      </c>
      <c r="AE19" s="205">
        <v>61</v>
      </c>
      <c r="AF19" s="187"/>
    </row>
    <row r="20" spans="1:35" ht="21.75" customHeight="1" x14ac:dyDescent="0.2">
      <c r="A20" s="44">
        <v>333</v>
      </c>
      <c r="B20" s="196">
        <v>37</v>
      </c>
      <c r="C20" s="183"/>
      <c r="D20" s="197" t="s">
        <v>8</v>
      </c>
      <c r="E20" s="145">
        <v>14</v>
      </c>
      <c r="F20" s="145">
        <v>14</v>
      </c>
      <c r="G20" s="186"/>
      <c r="H20" s="44">
        <v>324</v>
      </c>
      <c r="I20" s="196">
        <v>35</v>
      </c>
      <c r="J20" s="187"/>
      <c r="K20" s="199">
        <f t="shared" si="0"/>
        <v>-9</v>
      </c>
      <c r="L20" s="200">
        <f t="shared" si="1"/>
        <v>-2.7027027027027026</v>
      </c>
      <c r="M20" s="389">
        <f t="shared" si="2"/>
        <v>326</v>
      </c>
      <c r="N20" s="371">
        <f t="shared" si="3"/>
        <v>-2</v>
      </c>
      <c r="O20" s="175"/>
      <c r="P20" s="38">
        <v>0</v>
      </c>
      <c r="Q20" s="201">
        <v>0</v>
      </c>
      <c r="R20" s="202"/>
      <c r="S20" s="207">
        <v>4</v>
      </c>
      <c r="T20" s="201">
        <v>0</v>
      </c>
      <c r="U20" s="204">
        <v>2</v>
      </c>
      <c r="V20" s="201">
        <v>0</v>
      </c>
      <c r="W20" s="202"/>
      <c r="X20" s="205">
        <v>1</v>
      </c>
      <c r="Y20" s="175"/>
      <c r="Z20" s="198">
        <v>72</v>
      </c>
      <c r="AA20" s="196">
        <v>24</v>
      </c>
      <c r="AB20" s="187"/>
      <c r="AC20" s="198">
        <v>0</v>
      </c>
      <c r="AD20" s="206">
        <v>15</v>
      </c>
      <c r="AE20" s="196">
        <v>58</v>
      </c>
      <c r="AF20" s="187"/>
    </row>
    <row r="21" spans="1:35" ht="21.75" customHeight="1" x14ac:dyDescent="0.2">
      <c r="A21" s="44">
        <v>487</v>
      </c>
      <c r="B21" s="196">
        <v>28</v>
      </c>
      <c r="C21" s="183"/>
      <c r="D21" s="197" t="s">
        <v>9</v>
      </c>
      <c r="E21" s="145">
        <v>16</v>
      </c>
      <c r="F21" s="145">
        <v>16</v>
      </c>
      <c r="G21" s="186"/>
      <c r="H21" s="44">
        <v>486</v>
      </c>
      <c r="I21" s="196">
        <v>29</v>
      </c>
      <c r="J21" s="187"/>
      <c r="K21" s="199">
        <f t="shared" si="0"/>
        <v>-1</v>
      </c>
      <c r="L21" s="200">
        <f t="shared" si="1"/>
        <v>-0.20533880903490762</v>
      </c>
      <c r="M21" s="389">
        <f t="shared" si="2"/>
        <v>487</v>
      </c>
      <c r="N21" s="371">
        <f t="shared" si="3"/>
        <v>-1</v>
      </c>
      <c r="O21" s="175"/>
      <c r="P21" s="38">
        <v>9</v>
      </c>
      <c r="Q21" s="201">
        <v>0</v>
      </c>
      <c r="R21" s="202"/>
      <c r="S21" s="207">
        <v>2</v>
      </c>
      <c r="T21" s="201">
        <v>0</v>
      </c>
      <c r="U21" s="210">
        <v>3</v>
      </c>
      <c r="V21" s="201">
        <v>0</v>
      </c>
      <c r="W21" s="202"/>
      <c r="X21" s="205">
        <v>4</v>
      </c>
      <c r="Y21" s="175"/>
      <c r="Z21" s="198">
        <v>72</v>
      </c>
      <c r="AA21" s="196">
        <v>21</v>
      </c>
      <c r="AB21" s="187"/>
      <c r="AC21" s="198">
        <v>59</v>
      </c>
      <c r="AD21" s="206">
        <v>20</v>
      </c>
      <c r="AE21" s="196">
        <v>53</v>
      </c>
      <c r="AF21" s="187"/>
    </row>
    <row r="22" spans="1:35" ht="21.75" customHeight="1" x14ac:dyDescent="0.2">
      <c r="A22" s="44">
        <v>394</v>
      </c>
      <c r="B22" s="196">
        <v>39</v>
      </c>
      <c r="C22" s="183"/>
      <c r="D22" s="197" t="s">
        <v>10</v>
      </c>
      <c r="E22" s="145">
        <v>14</v>
      </c>
      <c r="F22" s="145">
        <v>14</v>
      </c>
      <c r="G22" s="186"/>
      <c r="H22" s="44">
        <v>388</v>
      </c>
      <c r="I22" s="196">
        <v>40</v>
      </c>
      <c r="J22" s="187"/>
      <c r="K22" s="199">
        <f t="shared" si="0"/>
        <v>-6</v>
      </c>
      <c r="L22" s="200">
        <f t="shared" si="1"/>
        <v>-1.5228426395939088</v>
      </c>
      <c r="M22" s="389">
        <f t="shared" si="2"/>
        <v>388</v>
      </c>
      <c r="N22" s="371">
        <f t="shared" si="3"/>
        <v>0</v>
      </c>
      <c r="O22" s="175"/>
      <c r="P22" s="38">
        <v>3</v>
      </c>
      <c r="Q22" s="201">
        <v>0</v>
      </c>
      <c r="R22" s="202"/>
      <c r="S22" s="207">
        <v>7</v>
      </c>
      <c r="T22" s="201">
        <v>0</v>
      </c>
      <c r="U22" s="204">
        <v>2</v>
      </c>
      <c r="V22" s="201">
        <v>0</v>
      </c>
      <c r="W22" s="202"/>
      <c r="X22" s="205">
        <v>0</v>
      </c>
      <c r="Y22" s="175"/>
      <c r="Z22" s="198">
        <v>72</v>
      </c>
      <c r="AA22" s="196">
        <v>20</v>
      </c>
      <c r="AB22" s="187"/>
      <c r="AC22" s="211">
        <v>73</v>
      </c>
      <c r="AD22" s="201">
        <v>27</v>
      </c>
      <c r="AE22" s="205">
        <v>64</v>
      </c>
      <c r="AF22" s="187"/>
    </row>
    <row r="23" spans="1:35" ht="21.75" customHeight="1" x14ac:dyDescent="0.2">
      <c r="A23" s="44">
        <v>181</v>
      </c>
      <c r="B23" s="196">
        <v>20</v>
      </c>
      <c r="C23" s="183"/>
      <c r="D23" s="197" t="s">
        <v>11</v>
      </c>
      <c r="E23" s="145">
        <v>7</v>
      </c>
      <c r="F23" s="145">
        <v>7</v>
      </c>
      <c r="G23" s="186"/>
      <c r="H23" s="44">
        <v>175</v>
      </c>
      <c r="I23" s="196">
        <v>20</v>
      </c>
      <c r="J23" s="187"/>
      <c r="K23" s="199">
        <f t="shared" si="0"/>
        <v>-6</v>
      </c>
      <c r="L23" s="200">
        <f t="shared" si="1"/>
        <v>-3.3149171270718232</v>
      </c>
      <c r="M23" s="389">
        <f t="shared" si="2"/>
        <v>175</v>
      </c>
      <c r="N23" s="371">
        <f t="shared" si="3"/>
        <v>0</v>
      </c>
      <c r="O23" s="175"/>
      <c r="P23" s="38">
        <v>0</v>
      </c>
      <c r="Q23" s="201">
        <v>0</v>
      </c>
      <c r="R23" s="202"/>
      <c r="S23" s="203">
        <v>4</v>
      </c>
      <c r="T23" s="201">
        <v>0</v>
      </c>
      <c r="U23" s="204">
        <v>1</v>
      </c>
      <c r="V23" s="201">
        <v>0</v>
      </c>
      <c r="W23" s="202"/>
      <c r="X23" s="205">
        <v>1</v>
      </c>
      <c r="Y23" s="175"/>
      <c r="Z23" s="198">
        <v>71</v>
      </c>
      <c r="AA23" s="196">
        <v>19</v>
      </c>
      <c r="AB23" s="187"/>
      <c r="AC23" s="268">
        <v>0</v>
      </c>
      <c r="AD23" s="201">
        <v>12</v>
      </c>
      <c r="AE23" s="205">
        <v>72</v>
      </c>
      <c r="AF23" s="187"/>
    </row>
    <row r="24" spans="1:35" ht="21.75" customHeight="1" x14ac:dyDescent="0.2">
      <c r="A24" s="44">
        <v>418</v>
      </c>
      <c r="B24" s="196">
        <v>31</v>
      </c>
      <c r="C24" s="183"/>
      <c r="D24" s="197" t="s">
        <v>12</v>
      </c>
      <c r="E24" s="145">
        <v>13</v>
      </c>
      <c r="F24" s="145">
        <v>13</v>
      </c>
      <c r="G24" s="186"/>
      <c r="H24" s="44">
        <v>400</v>
      </c>
      <c r="I24" s="196">
        <v>28</v>
      </c>
      <c r="J24" s="187"/>
      <c r="K24" s="199">
        <f t="shared" si="0"/>
        <v>-18</v>
      </c>
      <c r="L24" s="200">
        <f t="shared" si="1"/>
        <v>-4.3062200956937797</v>
      </c>
      <c r="M24" s="389">
        <f t="shared" si="2"/>
        <v>398</v>
      </c>
      <c r="N24" s="371">
        <f t="shared" si="3"/>
        <v>2</v>
      </c>
      <c r="O24" s="175"/>
      <c r="P24" s="38">
        <v>0</v>
      </c>
      <c r="Q24" s="201">
        <v>0</v>
      </c>
      <c r="R24" s="202"/>
      <c r="S24" s="203">
        <v>5</v>
      </c>
      <c r="T24" s="201">
        <v>0</v>
      </c>
      <c r="U24" s="204">
        <v>7</v>
      </c>
      <c r="V24" s="201">
        <v>0</v>
      </c>
      <c r="W24" s="202"/>
      <c r="X24" s="205">
        <v>8</v>
      </c>
      <c r="Y24" s="175"/>
      <c r="Z24" s="198">
        <v>69</v>
      </c>
      <c r="AA24" s="196">
        <v>19</v>
      </c>
      <c r="AB24" s="187"/>
      <c r="AC24" s="211">
        <v>0</v>
      </c>
      <c r="AD24" s="201">
        <v>24</v>
      </c>
      <c r="AE24" s="205">
        <v>73</v>
      </c>
      <c r="AF24" s="187"/>
    </row>
    <row r="25" spans="1:35" ht="21.75" customHeight="1" x14ac:dyDescent="0.2">
      <c r="A25" s="44">
        <v>299</v>
      </c>
      <c r="B25" s="196">
        <v>17</v>
      </c>
      <c r="C25" s="183"/>
      <c r="D25" s="197" t="s">
        <v>13</v>
      </c>
      <c r="E25" s="145">
        <v>10</v>
      </c>
      <c r="F25" s="145">
        <v>10</v>
      </c>
      <c r="G25" s="186"/>
      <c r="H25" s="44">
        <v>294</v>
      </c>
      <c r="I25" s="196">
        <v>10</v>
      </c>
      <c r="J25" s="187"/>
      <c r="K25" s="199">
        <f t="shared" si="0"/>
        <v>-5</v>
      </c>
      <c r="L25" s="200">
        <f t="shared" si="1"/>
        <v>-1.6722408026755853</v>
      </c>
      <c r="M25" s="389">
        <f t="shared" si="2"/>
        <v>293</v>
      </c>
      <c r="N25" s="371">
        <f t="shared" si="3"/>
        <v>1</v>
      </c>
      <c r="O25" s="175"/>
      <c r="P25" s="38">
        <v>0</v>
      </c>
      <c r="Q25" s="201">
        <v>0</v>
      </c>
      <c r="R25" s="202"/>
      <c r="S25" s="203">
        <v>3</v>
      </c>
      <c r="T25" s="201">
        <v>0</v>
      </c>
      <c r="U25" s="204">
        <v>3</v>
      </c>
      <c r="V25" s="201">
        <v>0</v>
      </c>
      <c r="W25" s="202"/>
      <c r="X25" s="205">
        <v>0</v>
      </c>
      <c r="Y25" s="175"/>
      <c r="Z25" s="198">
        <v>71</v>
      </c>
      <c r="AA25" s="196">
        <v>24</v>
      </c>
      <c r="AB25" s="187"/>
      <c r="AC25" s="211">
        <v>0</v>
      </c>
      <c r="AD25" s="201">
        <v>17</v>
      </c>
      <c r="AE25" s="205">
        <v>67</v>
      </c>
      <c r="AF25" s="187"/>
    </row>
    <row r="26" spans="1:35" ht="21.75" customHeight="1" x14ac:dyDescent="0.2">
      <c r="A26" s="44">
        <v>327</v>
      </c>
      <c r="B26" s="196">
        <v>22</v>
      </c>
      <c r="C26" s="183"/>
      <c r="D26" s="197" t="s">
        <v>14</v>
      </c>
      <c r="E26" s="145">
        <v>10</v>
      </c>
      <c r="F26" s="145">
        <v>10</v>
      </c>
      <c r="G26" s="186"/>
      <c r="H26" s="44">
        <v>318</v>
      </c>
      <c r="I26" s="196">
        <v>22</v>
      </c>
      <c r="J26" s="187"/>
      <c r="K26" s="199">
        <f t="shared" si="0"/>
        <v>-9</v>
      </c>
      <c r="L26" s="200">
        <f t="shared" si="1"/>
        <v>-2.7522935779816518</v>
      </c>
      <c r="M26" s="389">
        <f t="shared" si="2"/>
        <v>316</v>
      </c>
      <c r="N26" s="371">
        <f t="shared" si="3"/>
        <v>2</v>
      </c>
      <c r="O26" s="175"/>
      <c r="P26" s="38">
        <v>2</v>
      </c>
      <c r="Q26" s="201">
        <v>0</v>
      </c>
      <c r="R26" s="202"/>
      <c r="S26" s="203">
        <v>8</v>
      </c>
      <c r="T26" s="201">
        <v>0</v>
      </c>
      <c r="U26" s="204">
        <v>4</v>
      </c>
      <c r="V26" s="201">
        <v>0</v>
      </c>
      <c r="W26" s="202"/>
      <c r="X26" s="205">
        <v>1</v>
      </c>
      <c r="Y26" s="175"/>
      <c r="Z26" s="198">
        <v>71</v>
      </c>
      <c r="AA26" s="196">
        <v>22</v>
      </c>
      <c r="AB26" s="187"/>
      <c r="AC26" s="211">
        <v>61</v>
      </c>
      <c r="AD26" s="201">
        <v>19</v>
      </c>
      <c r="AE26" s="205">
        <v>61</v>
      </c>
      <c r="AF26" s="187"/>
    </row>
    <row r="27" spans="1:35" ht="21.75" customHeight="1" x14ac:dyDescent="0.2">
      <c r="A27" s="44">
        <v>274</v>
      </c>
      <c r="B27" s="196">
        <v>26</v>
      </c>
      <c r="C27" s="183"/>
      <c r="D27" s="197" t="s">
        <v>15</v>
      </c>
      <c r="E27" s="145">
        <v>11</v>
      </c>
      <c r="F27" s="145">
        <v>11</v>
      </c>
      <c r="G27" s="186"/>
      <c r="H27" s="44">
        <v>262</v>
      </c>
      <c r="I27" s="196">
        <v>29</v>
      </c>
      <c r="J27" s="187"/>
      <c r="K27" s="199">
        <f t="shared" si="0"/>
        <v>-12</v>
      </c>
      <c r="L27" s="200">
        <f t="shared" si="1"/>
        <v>-4.3795620437956204</v>
      </c>
      <c r="M27" s="389">
        <f t="shared" si="2"/>
        <v>262</v>
      </c>
      <c r="N27" s="371">
        <f t="shared" si="3"/>
        <v>0</v>
      </c>
      <c r="O27" s="175"/>
      <c r="P27" s="38">
        <v>1</v>
      </c>
      <c r="Q27" s="201">
        <v>0</v>
      </c>
      <c r="R27" s="202"/>
      <c r="S27" s="203">
        <v>6</v>
      </c>
      <c r="T27" s="201">
        <v>0</v>
      </c>
      <c r="U27" s="204">
        <v>6</v>
      </c>
      <c r="V27" s="201">
        <v>0</v>
      </c>
      <c r="W27" s="202"/>
      <c r="X27" s="205">
        <v>1</v>
      </c>
      <c r="Y27" s="175"/>
      <c r="Z27" s="198">
        <v>74</v>
      </c>
      <c r="AA27" s="196">
        <v>23</v>
      </c>
      <c r="AB27" s="187"/>
      <c r="AC27" s="211">
        <v>44</v>
      </c>
      <c r="AD27" s="201">
        <v>19</v>
      </c>
      <c r="AE27" s="205">
        <v>74</v>
      </c>
      <c r="AF27" s="187"/>
      <c r="AH27" s="361" t="s">
        <v>0</v>
      </c>
    </row>
    <row r="28" spans="1:35" ht="21.75" customHeight="1" x14ac:dyDescent="0.2">
      <c r="A28" s="44">
        <v>751</v>
      </c>
      <c r="B28" s="196">
        <v>52</v>
      </c>
      <c r="C28" s="183"/>
      <c r="D28" s="197" t="s">
        <v>16</v>
      </c>
      <c r="E28" s="145">
        <v>21</v>
      </c>
      <c r="F28" s="145">
        <v>21</v>
      </c>
      <c r="G28" s="186"/>
      <c r="H28" s="44">
        <v>745</v>
      </c>
      <c r="I28" s="196">
        <v>52</v>
      </c>
      <c r="J28" s="187"/>
      <c r="K28" s="199">
        <f t="shared" si="0"/>
        <v>-6</v>
      </c>
      <c r="L28" s="200">
        <f t="shared" si="1"/>
        <v>-0.79893475366178435</v>
      </c>
      <c r="M28" s="389">
        <f t="shared" si="2"/>
        <v>746</v>
      </c>
      <c r="N28" s="371">
        <f t="shared" si="3"/>
        <v>-1</v>
      </c>
      <c r="O28" s="175"/>
      <c r="P28" s="38">
        <v>7</v>
      </c>
      <c r="Q28" s="201">
        <v>0</v>
      </c>
      <c r="R28" s="202"/>
      <c r="S28" s="203">
        <v>5</v>
      </c>
      <c r="T28" s="201">
        <v>0</v>
      </c>
      <c r="U28" s="204">
        <v>4</v>
      </c>
      <c r="V28" s="201">
        <v>0</v>
      </c>
      <c r="W28" s="202"/>
      <c r="X28" s="205">
        <v>3</v>
      </c>
      <c r="Y28" s="175"/>
      <c r="Z28" s="198">
        <v>68</v>
      </c>
      <c r="AA28" s="196">
        <v>18</v>
      </c>
      <c r="AB28" s="187"/>
      <c r="AC28" s="211">
        <v>44</v>
      </c>
      <c r="AD28" s="201">
        <v>15</v>
      </c>
      <c r="AE28" s="205">
        <v>58</v>
      </c>
      <c r="AF28" s="187"/>
    </row>
    <row r="29" spans="1:35" ht="21.75" customHeight="1" x14ac:dyDescent="0.2">
      <c r="A29" s="44">
        <v>151</v>
      </c>
      <c r="B29" s="196">
        <v>21</v>
      </c>
      <c r="C29" s="183"/>
      <c r="D29" s="197" t="s">
        <v>17</v>
      </c>
      <c r="E29" s="145">
        <v>8</v>
      </c>
      <c r="F29" s="145">
        <v>8</v>
      </c>
      <c r="G29" s="186"/>
      <c r="H29" s="44">
        <v>152</v>
      </c>
      <c r="I29" s="196">
        <v>22</v>
      </c>
      <c r="J29" s="187"/>
      <c r="K29" s="199">
        <f t="shared" si="0"/>
        <v>1</v>
      </c>
      <c r="L29" s="200">
        <f t="shared" si="1"/>
        <v>0.66225165562913912</v>
      </c>
      <c r="M29" s="389">
        <f t="shared" si="2"/>
        <v>152</v>
      </c>
      <c r="N29" s="371">
        <f t="shared" si="3"/>
        <v>0</v>
      </c>
      <c r="O29" s="175"/>
      <c r="P29" s="38">
        <v>4</v>
      </c>
      <c r="Q29" s="201">
        <v>0</v>
      </c>
      <c r="R29" s="202"/>
      <c r="S29" s="203">
        <v>2</v>
      </c>
      <c r="T29" s="201">
        <v>0</v>
      </c>
      <c r="U29" s="204">
        <v>1</v>
      </c>
      <c r="V29" s="201">
        <v>0</v>
      </c>
      <c r="W29" s="202"/>
      <c r="X29" s="205">
        <v>0</v>
      </c>
      <c r="Y29" s="175"/>
      <c r="Z29" s="198">
        <v>68</v>
      </c>
      <c r="AA29" s="196">
        <v>19</v>
      </c>
      <c r="AB29" s="187"/>
      <c r="AC29" s="211">
        <v>46</v>
      </c>
      <c r="AD29" s="201">
        <v>5</v>
      </c>
      <c r="AE29" s="205">
        <v>67</v>
      </c>
      <c r="AF29" s="187"/>
    </row>
    <row r="30" spans="1:35" s="162" customFormat="1" ht="30.75" customHeight="1" x14ac:dyDescent="0.2">
      <c r="A30" s="63">
        <f>SUM(A11:A29)</f>
        <v>6878</v>
      </c>
      <c r="B30" s="64">
        <f>SUM(B11:B29)</f>
        <v>600</v>
      </c>
      <c r="C30" s="212"/>
      <c r="D30" s="90" t="s">
        <v>58</v>
      </c>
      <c r="E30" s="86">
        <f>SUM(E11:E29)</f>
        <v>243</v>
      </c>
      <c r="F30" s="86">
        <f>SUM(F11:F29)</f>
        <v>243</v>
      </c>
      <c r="G30" s="213"/>
      <c r="H30" s="63">
        <f>SUM(H11:H29)</f>
        <v>6733</v>
      </c>
      <c r="I30" s="64">
        <f>SUM(I11:I29)</f>
        <v>595</v>
      </c>
      <c r="J30" s="214"/>
      <c r="K30" s="89">
        <f t="shared" si="0"/>
        <v>-145</v>
      </c>
      <c r="L30" s="88">
        <f t="shared" si="1"/>
        <v>-2.1081709799360282</v>
      </c>
      <c r="M30" s="381">
        <f t="shared" si="2"/>
        <v>6730</v>
      </c>
      <c r="N30" s="373">
        <f t="shared" si="3"/>
        <v>3</v>
      </c>
      <c r="O30" s="215"/>
      <c r="P30" s="83">
        <f>SUM(P11:P29)</f>
        <v>40</v>
      </c>
      <c r="Q30" s="353">
        <f>SUM(Q11:Q29)</f>
        <v>0</v>
      </c>
      <c r="R30" s="126"/>
      <c r="S30" s="84">
        <f>SUM(S11:S29)</f>
        <v>83</v>
      </c>
      <c r="T30" s="353">
        <f>SUM(T11:T29)</f>
        <v>0</v>
      </c>
      <c r="U30" s="85">
        <f>SUM(U11:U29)</f>
        <v>79</v>
      </c>
      <c r="V30" s="353">
        <f>SUM(V11:V29)</f>
        <v>0</v>
      </c>
      <c r="W30" s="126"/>
      <c r="X30" s="86">
        <f>SUM(X11:X29)</f>
        <v>26</v>
      </c>
      <c r="Y30" s="215"/>
      <c r="Z30" s="87">
        <f>SUM(Z11:Z29)/19</f>
        <v>70.84210526315789</v>
      </c>
      <c r="AA30" s="64">
        <f>SUM(AA11:AA29)/19</f>
        <v>21.105263157894736</v>
      </c>
      <c r="AB30" s="214"/>
      <c r="AC30" s="87">
        <f>SUM(AC11:AC29)/10</f>
        <v>50.1</v>
      </c>
      <c r="AD30" s="84">
        <f>SUM(AD11,AD12,AD13,AD15,AD16,AD17,AD18,AD19,AD20,AD21,AD22,AD23,AD24,AD25,AD26,AD27,AD28,AD29)/18</f>
        <v>16.722222222222221</v>
      </c>
      <c r="AE30" s="64">
        <f>SUM(AE11:AE29)/18</f>
        <v>64.277777777777771</v>
      </c>
      <c r="AF30" s="214"/>
      <c r="AH30" s="162" t="s">
        <v>0</v>
      </c>
      <c r="AI30" s="162" t="s">
        <v>0</v>
      </c>
    </row>
    <row r="31" spans="1:35" s="162" customFormat="1" ht="12.75" customHeight="1" x14ac:dyDescent="0.2">
      <c r="A31" s="216"/>
      <c r="B31" s="217"/>
      <c r="C31" s="218"/>
      <c r="D31" s="219"/>
      <c r="E31" s="146"/>
      <c r="F31" s="146"/>
      <c r="G31" s="219"/>
      <c r="H31" s="216"/>
      <c r="I31" s="217"/>
      <c r="J31" s="217"/>
      <c r="K31" s="220"/>
      <c r="L31" s="221"/>
      <c r="M31" s="362"/>
      <c r="N31" s="362"/>
      <c r="O31" s="222"/>
      <c r="P31" s="223"/>
      <c r="Q31" s="223"/>
      <c r="R31" s="224"/>
      <c r="S31" s="217"/>
      <c r="T31" s="223"/>
      <c r="U31" s="225"/>
      <c r="V31" s="223"/>
      <c r="W31" s="224"/>
      <c r="X31" s="223"/>
      <c r="Y31" s="222"/>
      <c r="Z31" s="217"/>
      <c r="AA31" s="221"/>
      <c r="AB31" s="217"/>
      <c r="AC31" s="223"/>
      <c r="AD31" s="223"/>
      <c r="AE31" s="223"/>
      <c r="AF31" s="217"/>
    </row>
    <row r="32" spans="1:35" ht="30" customHeight="1" x14ac:dyDescent="0.2">
      <c r="A32" s="226">
        <v>92</v>
      </c>
      <c r="B32" s="227">
        <v>0</v>
      </c>
      <c r="C32" s="183"/>
      <c r="D32" s="228" t="s">
        <v>43</v>
      </c>
      <c r="E32" s="147">
        <v>1</v>
      </c>
      <c r="F32" s="147">
        <v>1</v>
      </c>
      <c r="G32" s="186"/>
      <c r="H32" s="226">
        <v>92</v>
      </c>
      <c r="I32" s="227">
        <v>0</v>
      </c>
      <c r="J32" s="187"/>
      <c r="K32" s="230">
        <f>H32-A32</f>
        <v>0</v>
      </c>
      <c r="L32" s="231">
        <f>SUM(K32/A32*100)</f>
        <v>0</v>
      </c>
      <c r="M32" s="374">
        <f>SUM(A32+P32-S32-U32-X32)</f>
        <v>91</v>
      </c>
      <c r="N32" s="375">
        <f>SUM(H32-M32)</f>
        <v>1</v>
      </c>
      <c r="O32" s="175"/>
      <c r="P32" s="100">
        <v>0</v>
      </c>
      <c r="Q32" s="232">
        <v>0</v>
      </c>
      <c r="R32" s="128"/>
      <c r="S32" s="233">
        <v>1</v>
      </c>
      <c r="T32" s="232">
        <v>0</v>
      </c>
      <c r="U32" s="234">
        <v>0</v>
      </c>
      <c r="V32" s="232">
        <v>0</v>
      </c>
      <c r="W32" s="130"/>
      <c r="X32" s="235">
        <v>0</v>
      </c>
      <c r="Y32" s="175"/>
      <c r="Z32" s="236">
        <v>72</v>
      </c>
      <c r="AA32" s="237">
        <v>25</v>
      </c>
      <c r="AB32" s="187"/>
      <c r="AC32" s="238">
        <v>0</v>
      </c>
      <c r="AD32" s="232">
        <v>35</v>
      </c>
      <c r="AE32" s="239">
        <v>71</v>
      </c>
      <c r="AF32" s="187"/>
    </row>
    <row r="33" spans="1:32" s="162" customFormat="1" ht="12.75" customHeight="1" x14ac:dyDescent="0.2">
      <c r="A33" s="216"/>
      <c r="B33" s="217"/>
      <c r="C33" s="218"/>
      <c r="D33" s="219"/>
      <c r="E33" s="146"/>
      <c r="F33" s="146"/>
      <c r="G33" s="219"/>
      <c r="H33" s="216"/>
      <c r="I33" s="217"/>
      <c r="J33" s="217"/>
      <c r="K33" s="220"/>
      <c r="L33" s="221"/>
      <c r="M33" s="362"/>
      <c r="N33" s="362"/>
      <c r="O33" s="222"/>
      <c r="P33" s="223"/>
      <c r="Q33" s="223"/>
      <c r="R33" s="224"/>
      <c r="S33" s="217"/>
      <c r="T33" s="223"/>
      <c r="U33" s="225"/>
      <c r="V33" s="223"/>
      <c r="W33" s="224"/>
      <c r="X33" s="223"/>
      <c r="Y33" s="222"/>
      <c r="Z33" s="217"/>
      <c r="AA33" s="221"/>
      <c r="AB33" s="217"/>
      <c r="AC33" s="223"/>
      <c r="AD33" s="223"/>
      <c r="AE33" s="223"/>
      <c r="AF33" s="217"/>
    </row>
    <row r="34" spans="1:32" ht="21.75" customHeight="1" x14ac:dyDescent="0.2">
      <c r="A34" s="60">
        <v>371</v>
      </c>
      <c r="B34" s="182">
        <v>19</v>
      </c>
      <c r="C34" s="183"/>
      <c r="D34" s="184" t="s">
        <v>38</v>
      </c>
      <c r="E34" s="144">
        <v>12</v>
      </c>
      <c r="F34" s="144">
        <v>12</v>
      </c>
      <c r="G34" s="186"/>
      <c r="H34" s="60">
        <v>370</v>
      </c>
      <c r="I34" s="182">
        <v>19</v>
      </c>
      <c r="J34" s="187"/>
      <c r="K34" s="188">
        <f>H34-A34</f>
        <v>-1</v>
      </c>
      <c r="L34" s="189">
        <f>SUM(K34/A34*100)</f>
        <v>-0.26954177897574128</v>
      </c>
      <c r="M34" s="368">
        <f>SUM(A34+P34-S34-U34-X34)</f>
        <v>370</v>
      </c>
      <c r="N34" s="369">
        <f>SUM(H34-M34)</f>
        <v>0</v>
      </c>
      <c r="O34" s="175"/>
      <c r="P34" s="80">
        <v>2</v>
      </c>
      <c r="Q34" s="190">
        <v>0</v>
      </c>
      <c r="R34" s="124"/>
      <c r="S34" s="240">
        <v>2</v>
      </c>
      <c r="T34" s="190">
        <v>0</v>
      </c>
      <c r="U34" s="241">
        <v>1</v>
      </c>
      <c r="V34" s="190">
        <v>0</v>
      </c>
      <c r="W34" s="131"/>
      <c r="X34" s="193">
        <v>0</v>
      </c>
      <c r="Y34" s="175"/>
      <c r="Z34" s="185">
        <v>75</v>
      </c>
      <c r="AA34" s="182">
        <v>16</v>
      </c>
      <c r="AB34" s="187"/>
      <c r="AC34" s="242">
        <v>43</v>
      </c>
      <c r="AD34" s="190">
        <v>23</v>
      </c>
      <c r="AE34" s="193">
        <v>75</v>
      </c>
      <c r="AF34" s="187"/>
    </row>
    <row r="35" spans="1:32" ht="21.75" customHeight="1" x14ac:dyDescent="0.2">
      <c r="A35" s="44">
        <v>410</v>
      </c>
      <c r="B35" s="196">
        <v>18</v>
      </c>
      <c r="C35" s="183"/>
      <c r="D35" s="197" t="s">
        <v>39</v>
      </c>
      <c r="E35" s="145">
        <v>15</v>
      </c>
      <c r="F35" s="145">
        <v>15</v>
      </c>
      <c r="G35" s="186"/>
      <c r="H35" s="44">
        <v>402</v>
      </c>
      <c r="I35" s="196">
        <v>17</v>
      </c>
      <c r="J35" s="187"/>
      <c r="K35" s="199">
        <f>H35-A35</f>
        <v>-8</v>
      </c>
      <c r="L35" s="200">
        <f>SUM(K35/A35*100)</f>
        <v>-1.9512195121951219</v>
      </c>
      <c r="M35" s="370">
        <f>SUM(A35+P35-S35-U35-X35)</f>
        <v>401</v>
      </c>
      <c r="N35" s="371">
        <f>SUM(H35-M35)</f>
        <v>1</v>
      </c>
      <c r="O35" s="175"/>
      <c r="P35" s="38">
        <v>0</v>
      </c>
      <c r="Q35" s="201">
        <v>0</v>
      </c>
      <c r="R35" s="202"/>
      <c r="S35" s="203">
        <v>7</v>
      </c>
      <c r="T35" s="201">
        <v>0</v>
      </c>
      <c r="U35" s="204">
        <v>2</v>
      </c>
      <c r="V35" s="201">
        <v>0</v>
      </c>
      <c r="W35" s="132"/>
      <c r="X35" s="205">
        <v>0</v>
      </c>
      <c r="Y35" s="175"/>
      <c r="Z35" s="198">
        <v>72</v>
      </c>
      <c r="AA35" s="196">
        <v>16</v>
      </c>
      <c r="AB35" s="187"/>
      <c r="AC35" s="211">
        <v>0</v>
      </c>
      <c r="AD35" s="201">
        <v>7</v>
      </c>
      <c r="AE35" s="205">
        <v>71</v>
      </c>
      <c r="AF35" s="187"/>
    </row>
    <row r="36" spans="1:32" ht="21.75" customHeight="1" x14ac:dyDescent="0.2">
      <c r="A36" s="44">
        <v>109</v>
      </c>
      <c r="B36" s="196">
        <v>13</v>
      </c>
      <c r="C36" s="183"/>
      <c r="D36" s="197" t="s">
        <v>40</v>
      </c>
      <c r="E36" s="145">
        <v>6</v>
      </c>
      <c r="F36" s="145">
        <v>6</v>
      </c>
      <c r="G36" s="186"/>
      <c r="H36" s="44">
        <v>104</v>
      </c>
      <c r="I36" s="196">
        <v>13</v>
      </c>
      <c r="J36" s="187"/>
      <c r="K36" s="199">
        <f>H36-A36</f>
        <v>-5</v>
      </c>
      <c r="L36" s="200">
        <f>SUM(K36/A36*100)</f>
        <v>-4.5871559633027523</v>
      </c>
      <c r="M36" s="370">
        <f>SUM(A36+P36-S36-U36-X36)</f>
        <v>104</v>
      </c>
      <c r="N36" s="371">
        <f>SUM(H36-M36)</f>
        <v>0</v>
      </c>
      <c r="O36" s="175"/>
      <c r="P36" s="38">
        <v>0</v>
      </c>
      <c r="Q36" s="201">
        <v>0</v>
      </c>
      <c r="R36" s="202"/>
      <c r="S36" s="203">
        <v>4</v>
      </c>
      <c r="T36" s="201">
        <v>0</v>
      </c>
      <c r="U36" s="204">
        <v>1</v>
      </c>
      <c r="V36" s="201">
        <v>0</v>
      </c>
      <c r="W36" s="132"/>
      <c r="X36" s="205">
        <v>0</v>
      </c>
      <c r="Y36" s="175"/>
      <c r="Z36" s="198">
        <v>74</v>
      </c>
      <c r="AA36" s="196">
        <v>15</v>
      </c>
      <c r="AB36" s="187"/>
      <c r="AC36" s="268">
        <v>0</v>
      </c>
      <c r="AD36" s="201">
        <v>8</v>
      </c>
      <c r="AE36" s="205">
        <v>78</v>
      </c>
      <c r="AF36" s="187"/>
    </row>
    <row r="37" spans="1:32" ht="21.75" customHeight="1" x14ac:dyDescent="0.2">
      <c r="A37" s="44">
        <v>11</v>
      </c>
      <c r="B37" s="196">
        <v>0</v>
      </c>
      <c r="C37" s="183"/>
      <c r="D37" s="197" t="s">
        <v>63</v>
      </c>
      <c r="E37" s="145">
        <v>1</v>
      </c>
      <c r="F37" s="145">
        <v>1</v>
      </c>
      <c r="G37" s="186"/>
      <c r="H37" s="44">
        <v>11</v>
      </c>
      <c r="I37" s="196">
        <v>0</v>
      </c>
      <c r="J37" s="187"/>
      <c r="K37" s="199">
        <f>H37-A37</f>
        <v>0</v>
      </c>
      <c r="L37" s="200">
        <f>SUM(K37/A37*100)</f>
        <v>0</v>
      </c>
      <c r="M37" s="370">
        <f>SUM(A37+P37-S37-U37-X37)</f>
        <v>11</v>
      </c>
      <c r="N37" s="371">
        <v>0</v>
      </c>
      <c r="O37" s="175"/>
      <c r="P37" s="38">
        <v>0</v>
      </c>
      <c r="Q37" s="201">
        <v>0</v>
      </c>
      <c r="R37" s="202"/>
      <c r="S37" s="203">
        <v>0</v>
      </c>
      <c r="T37" s="201">
        <v>0</v>
      </c>
      <c r="U37" s="204">
        <v>0</v>
      </c>
      <c r="V37" s="201">
        <v>0</v>
      </c>
      <c r="W37" s="132"/>
      <c r="X37" s="205">
        <v>0</v>
      </c>
      <c r="Y37" s="175"/>
      <c r="Z37" s="198">
        <v>74</v>
      </c>
      <c r="AA37" s="196">
        <v>9</v>
      </c>
      <c r="AB37" s="187"/>
      <c r="AC37" s="268">
        <v>0</v>
      </c>
      <c r="AD37" s="269">
        <v>0</v>
      </c>
      <c r="AE37" s="270">
        <v>0</v>
      </c>
      <c r="AF37" s="187"/>
    </row>
    <row r="38" spans="1:32" s="162" customFormat="1" ht="21.75" customHeight="1" x14ac:dyDescent="0.2">
      <c r="A38" s="63">
        <f>SUM(A34:A37)</f>
        <v>901</v>
      </c>
      <c r="B38" s="149">
        <f>SUM(B34:B37)</f>
        <v>50</v>
      </c>
      <c r="C38" s="212"/>
      <c r="D38" s="90" t="s">
        <v>59</v>
      </c>
      <c r="E38" s="86">
        <f>SUM(E34:E37)</f>
        <v>34</v>
      </c>
      <c r="F38" s="86">
        <f>SUM(F34:F37)</f>
        <v>34</v>
      </c>
      <c r="G38" s="213"/>
      <c r="H38" s="63">
        <f>SUM(H34:H37)</f>
        <v>887</v>
      </c>
      <c r="I38" s="149">
        <f>SUM(I34:I37)</f>
        <v>49</v>
      </c>
      <c r="J38" s="214"/>
      <c r="K38" s="89">
        <f>H38-A38</f>
        <v>-14</v>
      </c>
      <c r="L38" s="88">
        <f>SUM(K38/A38*100)</f>
        <v>-1.553829078801332</v>
      </c>
      <c r="M38" s="372">
        <f>SUM(M34:M37)</f>
        <v>886</v>
      </c>
      <c r="N38" s="373">
        <f>SUM(H38-M38)</f>
        <v>1</v>
      </c>
      <c r="O38" s="215"/>
      <c r="P38" s="63">
        <f>SUM(P34:P37)</f>
        <v>2</v>
      </c>
      <c r="Q38" s="150">
        <f>SUM(Q34:Q37)</f>
        <v>0</v>
      </c>
      <c r="R38" s="126"/>
      <c r="S38" s="150">
        <f>SUM(S34:S37)</f>
        <v>13</v>
      </c>
      <c r="T38" s="150">
        <f>SUM(T34:T37)</f>
        <v>0</v>
      </c>
      <c r="U38" s="150">
        <f>SUM(U34:U37)</f>
        <v>4</v>
      </c>
      <c r="V38" s="150">
        <f>SUM(V34:V37)</f>
        <v>0</v>
      </c>
      <c r="W38" s="126"/>
      <c r="X38" s="149">
        <f>SUM(X34:X37)</f>
        <v>0</v>
      </c>
      <c r="Y38" s="215"/>
      <c r="Z38" s="87">
        <f>SUM(Z34:Z37)/4</f>
        <v>73.75</v>
      </c>
      <c r="AA38" s="64">
        <f>SUM(AA34:AA37)/4</f>
        <v>14</v>
      </c>
      <c r="AB38" s="214"/>
      <c r="AC38" s="87">
        <f>SUM(AC34:AC37)</f>
        <v>43</v>
      </c>
      <c r="AD38" s="84">
        <f>SUM(AD34:AD37)/3</f>
        <v>12.666666666666666</v>
      </c>
      <c r="AE38" s="64">
        <f>SUM(AE34:AE37)/3</f>
        <v>74.666666666666671</v>
      </c>
      <c r="AF38" s="214"/>
    </row>
    <row r="39" spans="1:32" s="162" customFormat="1" ht="12.75" customHeight="1" x14ac:dyDescent="0.2">
      <c r="A39" s="216"/>
      <c r="B39" s="217"/>
      <c r="C39" s="218"/>
      <c r="D39" s="219"/>
      <c r="E39" s="146"/>
      <c r="F39" s="146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223"/>
      <c r="AF39" s="217"/>
    </row>
    <row r="40" spans="1:32" ht="32.25" customHeight="1" x14ac:dyDescent="0.2">
      <c r="A40" s="226">
        <v>113</v>
      </c>
      <c r="B40" s="227">
        <v>2</v>
      </c>
      <c r="C40" s="183"/>
      <c r="D40" s="228" t="s">
        <v>72</v>
      </c>
      <c r="E40" s="147">
        <v>3</v>
      </c>
      <c r="F40" s="147">
        <v>3</v>
      </c>
      <c r="G40" s="186"/>
      <c r="H40" s="226">
        <v>119</v>
      </c>
      <c r="I40" s="227">
        <v>2</v>
      </c>
      <c r="J40" s="187"/>
      <c r="K40" s="230">
        <f>H40-A40</f>
        <v>6</v>
      </c>
      <c r="L40" s="231">
        <f>SUM(K40/A40*100)</f>
        <v>5.3097345132743365</v>
      </c>
      <c r="M40" s="374">
        <f>SUM(A40+P40-S40-U40-X40)</f>
        <v>119</v>
      </c>
      <c r="N40" s="375">
        <f>SUM(H40-M40)</f>
        <v>0</v>
      </c>
      <c r="O40" s="175"/>
      <c r="P40" s="54">
        <v>6</v>
      </c>
      <c r="Q40" s="232">
        <v>0</v>
      </c>
      <c r="R40" s="128"/>
      <c r="S40" s="243">
        <v>0</v>
      </c>
      <c r="T40" s="232">
        <v>0</v>
      </c>
      <c r="U40" s="244">
        <v>0</v>
      </c>
      <c r="V40" s="232">
        <v>0</v>
      </c>
      <c r="W40" s="130"/>
      <c r="X40" s="239">
        <v>0</v>
      </c>
      <c r="Y40" s="175"/>
      <c r="Z40" s="229">
        <v>48</v>
      </c>
      <c r="AA40" s="227">
        <v>2</v>
      </c>
      <c r="AB40" s="187"/>
      <c r="AC40" s="238">
        <v>38</v>
      </c>
      <c r="AD40" s="271">
        <v>0</v>
      </c>
      <c r="AE40" s="235">
        <v>0</v>
      </c>
      <c r="AF40" s="187"/>
    </row>
    <row r="41" spans="1:32" s="162" customFormat="1" ht="12.75" customHeight="1" x14ac:dyDescent="0.2">
      <c r="A41" s="216"/>
      <c r="B41" s="217"/>
      <c r="C41" s="218"/>
      <c r="D41" s="219"/>
      <c r="E41" s="146"/>
      <c r="F41" s="146"/>
      <c r="G41" s="219"/>
      <c r="H41" s="216"/>
      <c r="I41" s="217"/>
      <c r="J41" s="217"/>
      <c r="K41" s="220"/>
      <c r="L41" s="221"/>
      <c r="M41" s="362"/>
      <c r="N41" s="362"/>
      <c r="O41" s="222"/>
      <c r="P41" s="223"/>
      <c r="Q41" s="223"/>
      <c r="R41" s="224"/>
      <c r="S41" s="217"/>
      <c r="T41" s="223"/>
      <c r="U41" s="225"/>
      <c r="V41" s="223"/>
      <c r="W41" s="224"/>
      <c r="X41" s="223"/>
      <c r="Y41" s="222"/>
      <c r="Z41" s="217"/>
      <c r="AA41" s="221"/>
      <c r="AB41" s="217"/>
      <c r="AC41" s="223"/>
      <c r="AD41" s="223"/>
      <c r="AE41" s="223"/>
      <c r="AF41" s="217"/>
    </row>
    <row r="42" spans="1:32" ht="21.75" customHeight="1" x14ac:dyDescent="0.2">
      <c r="A42" s="60">
        <v>274</v>
      </c>
      <c r="B42" s="182">
        <v>6</v>
      </c>
      <c r="C42" s="183"/>
      <c r="D42" s="184" t="s">
        <v>41</v>
      </c>
      <c r="E42" s="144">
        <v>10</v>
      </c>
      <c r="F42" s="144">
        <v>10</v>
      </c>
      <c r="G42" s="186"/>
      <c r="H42" s="60">
        <v>273</v>
      </c>
      <c r="I42" s="182">
        <v>6</v>
      </c>
      <c r="J42" s="187"/>
      <c r="K42" s="188">
        <f>H42-A42</f>
        <v>-1</v>
      </c>
      <c r="L42" s="189">
        <f>SUM(K42/A42*100)</f>
        <v>-0.36496350364963503</v>
      </c>
      <c r="M42" s="368">
        <f>SUM(A42+P42-S42-U42-X42)</f>
        <v>273</v>
      </c>
      <c r="N42" s="369">
        <f>SUM(H42-M42)</f>
        <v>0</v>
      </c>
      <c r="O42" s="175"/>
      <c r="P42" s="80">
        <v>0</v>
      </c>
      <c r="Q42" s="190">
        <v>0</v>
      </c>
      <c r="R42" s="124"/>
      <c r="S42" s="240">
        <v>1</v>
      </c>
      <c r="T42" s="190">
        <v>0</v>
      </c>
      <c r="U42" s="241">
        <v>0</v>
      </c>
      <c r="V42" s="190">
        <v>0</v>
      </c>
      <c r="W42" s="131"/>
      <c r="X42" s="193">
        <v>0</v>
      </c>
      <c r="Y42" s="175"/>
      <c r="Z42" s="185">
        <v>61</v>
      </c>
      <c r="AA42" s="182">
        <v>5</v>
      </c>
      <c r="AB42" s="187"/>
      <c r="AC42" s="242">
        <v>0</v>
      </c>
      <c r="AD42" s="272">
        <v>2</v>
      </c>
      <c r="AE42" s="273">
        <v>0</v>
      </c>
      <c r="AF42" s="187"/>
    </row>
    <row r="43" spans="1:32" ht="21.75" customHeight="1" x14ac:dyDescent="0.2">
      <c r="A43" s="44">
        <v>106</v>
      </c>
      <c r="B43" s="196">
        <v>8</v>
      </c>
      <c r="C43" s="183"/>
      <c r="D43" s="197" t="s">
        <v>42</v>
      </c>
      <c r="E43" s="145">
        <v>5</v>
      </c>
      <c r="F43" s="145">
        <v>5</v>
      </c>
      <c r="G43" s="186"/>
      <c r="H43" s="44">
        <v>106</v>
      </c>
      <c r="I43" s="196">
        <v>8</v>
      </c>
      <c r="J43" s="187"/>
      <c r="K43" s="199">
        <f>H43-A43</f>
        <v>0</v>
      </c>
      <c r="L43" s="200">
        <f>SUM(K43/A43*100)</f>
        <v>0</v>
      </c>
      <c r="M43" s="370">
        <f>SUM(A43+P43-S43-U43-X43)</f>
        <v>106</v>
      </c>
      <c r="N43" s="371">
        <f>SUM(H43-M43)</f>
        <v>0</v>
      </c>
      <c r="O43" s="175"/>
      <c r="P43" s="38">
        <v>0</v>
      </c>
      <c r="Q43" s="201">
        <v>0</v>
      </c>
      <c r="R43" s="202"/>
      <c r="S43" s="203">
        <v>0</v>
      </c>
      <c r="T43" s="201">
        <v>0</v>
      </c>
      <c r="U43" s="204">
        <v>0</v>
      </c>
      <c r="V43" s="201">
        <v>0</v>
      </c>
      <c r="W43" s="132"/>
      <c r="X43" s="205">
        <v>0</v>
      </c>
      <c r="Y43" s="175"/>
      <c r="Z43" s="198">
        <v>52</v>
      </c>
      <c r="AA43" s="196">
        <v>2</v>
      </c>
      <c r="AB43" s="187"/>
      <c r="AC43" s="268">
        <v>0</v>
      </c>
      <c r="AD43" s="201">
        <v>0</v>
      </c>
      <c r="AE43" s="205">
        <v>0</v>
      </c>
      <c r="AF43" s="187"/>
    </row>
    <row r="44" spans="1:32" s="329" customFormat="1" ht="21.75" customHeight="1" x14ac:dyDescent="0.2">
      <c r="A44" s="286">
        <f>SUM(A42:A43)</f>
        <v>380</v>
      </c>
      <c r="B44" s="287">
        <f>SUM(B42:B43)</f>
        <v>14</v>
      </c>
      <c r="C44" s="325"/>
      <c r="D44" s="289" t="s">
        <v>44</v>
      </c>
      <c r="E44" s="290">
        <f>SUM(E42:E43)</f>
        <v>15</v>
      </c>
      <c r="F44" s="290">
        <f>SUM(F42:F43)</f>
        <v>15</v>
      </c>
      <c r="G44" s="326"/>
      <c r="H44" s="286">
        <f>SUM(H42:H43)</f>
        <v>379</v>
      </c>
      <c r="I44" s="287">
        <f>SUM(I42:I43)</f>
        <v>14</v>
      </c>
      <c r="J44" s="327"/>
      <c r="K44" s="293">
        <f>H44-A44</f>
        <v>-1</v>
      </c>
      <c r="L44" s="294">
        <f>SUM(K44/A44*100)</f>
        <v>-0.26315789473684209</v>
      </c>
      <c r="M44" s="372">
        <f>SUM(A44+P44-S44-U44-X44)</f>
        <v>379</v>
      </c>
      <c r="N44" s="373">
        <f>SUM(H44-M44)</f>
        <v>0</v>
      </c>
      <c r="O44" s="328"/>
      <c r="P44" s="296">
        <f>SUM(P42:P43)</f>
        <v>0</v>
      </c>
      <c r="Q44" s="297">
        <f>SUM(Q42:Q43)</f>
        <v>0</v>
      </c>
      <c r="R44" s="298"/>
      <c r="S44" s="299">
        <f>SUM(S42:S43)</f>
        <v>1</v>
      </c>
      <c r="T44" s="297">
        <f>SUM(T42:T43)</f>
        <v>0</v>
      </c>
      <c r="U44" s="300">
        <f>SUM(U42:U43)</f>
        <v>0</v>
      </c>
      <c r="V44" s="297">
        <f>SUM(V42:V43)</f>
        <v>0</v>
      </c>
      <c r="W44" s="301"/>
      <c r="X44" s="290">
        <f>SUM(X42:X43)</f>
        <v>0</v>
      </c>
      <c r="Y44" s="328"/>
      <c r="Z44" s="302">
        <f>SUM(Z42:Z43)/2</f>
        <v>56.5</v>
      </c>
      <c r="AA44" s="287">
        <f>SUM(AA42,AA43)/2</f>
        <v>3.5</v>
      </c>
      <c r="AB44" s="327"/>
      <c r="AC44" s="296">
        <f>SUM(AC43,AC42)/2</f>
        <v>0</v>
      </c>
      <c r="AD44" s="303">
        <f>SUM(AD43,AD42)/1</f>
        <v>2</v>
      </c>
      <c r="AE44" s="304">
        <f>SUM(AE43,AE42)/2</f>
        <v>0</v>
      </c>
      <c r="AF44" s="327"/>
    </row>
    <row r="45" spans="1:32" s="162" customFormat="1" ht="12.75" customHeight="1" x14ac:dyDescent="0.2">
      <c r="A45" s="216"/>
      <c r="B45" s="217"/>
      <c r="C45" s="218"/>
      <c r="D45" s="219"/>
      <c r="E45" s="146"/>
      <c r="F45" s="146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223"/>
      <c r="AF45" s="217"/>
    </row>
    <row r="46" spans="1:32" s="344" customFormat="1" ht="27.75" customHeight="1" x14ac:dyDescent="0.2">
      <c r="A46" s="330">
        <v>57</v>
      </c>
      <c r="B46" s="331">
        <v>14</v>
      </c>
      <c r="C46" s="332"/>
      <c r="D46" s="228" t="s">
        <v>67</v>
      </c>
      <c r="E46" s="147">
        <v>3</v>
      </c>
      <c r="F46" s="147">
        <v>3</v>
      </c>
      <c r="G46" s="186"/>
      <c r="H46" s="330">
        <v>53</v>
      </c>
      <c r="I46" s="331">
        <v>15</v>
      </c>
      <c r="J46" s="333"/>
      <c r="K46" s="230">
        <f>H46-A46</f>
        <v>-4</v>
      </c>
      <c r="L46" s="390">
        <f>SUM(K46/A46*100)</f>
        <v>-7.0175438596491224</v>
      </c>
      <c r="M46" s="374">
        <f>SUM(A46+P46-S46-U46-X46)</f>
        <v>54</v>
      </c>
      <c r="N46" s="375">
        <f>SUM(H46-M46)</f>
        <v>-1</v>
      </c>
      <c r="O46" s="336"/>
      <c r="P46" s="311">
        <v>0</v>
      </c>
      <c r="Q46" s="337">
        <v>0</v>
      </c>
      <c r="R46" s="313"/>
      <c r="S46" s="338">
        <v>1</v>
      </c>
      <c r="T46" s="337">
        <v>0</v>
      </c>
      <c r="U46" s="339">
        <v>2</v>
      </c>
      <c r="V46" s="337">
        <v>0</v>
      </c>
      <c r="W46" s="316"/>
      <c r="X46" s="147">
        <v>0</v>
      </c>
      <c r="Y46" s="336"/>
      <c r="Z46" s="340">
        <v>76</v>
      </c>
      <c r="AA46" s="331">
        <v>29</v>
      </c>
      <c r="AB46" s="333"/>
      <c r="AC46" s="341">
        <v>0</v>
      </c>
      <c r="AD46" s="342">
        <v>12</v>
      </c>
      <c r="AE46" s="343">
        <v>75</v>
      </c>
      <c r="AF46" s="333"/>
    </row>
    <row r="47" spans="1:32" s="162" customFormat="1" ht="12.75" customHeight="1" x14ac:dyDescent="0.2">
      <c r="A47" s="216"/>
      <c r="B47" s="217"/>
      <c r="C47" s="218"/>
      <c r="D47" s="219"/>
      <c r="E47" s="146"/>
      <c r="F47" s="146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223"/>
      <c r="AF47" s="217"/>
    </row>
    <row r="48" spans="1:32" s="344" customFormat="1" ht="27.75" customHeight="1" x14ac:dyDescent="0.2">
      <c r="A48" s="330">
        <v>159</v>
      </c>
      <c r="B48" s="331">
        <v>33</v>
      </c>
      <c r="C48" s="332"/>
      <c r="D48" s="363" t="s">
        <v>70</v>
      </c>
      <c r="E48" s="147">
        <v>6</v>
      </c>
      <c r="F48" s="147">
        <v>6</v>
      </c>
      <c r="G48" s="186"/>
      <c r="H48" s="330">
        <v>150</v>
      </c>
      <c r="I48" s="331">
        <v>32</v>
      </c>
      <c r="J48" s="333"/>
      <c r="K48" s="230">
        <f>H48-A48</f>
        <v>-9</v>
      </c>
      <c r="L48" s="390">
        <f>SUM(K48/A48*100)</f>
        <v>-5.6603773584905666</v>
      </c>
      <c r="M48" s="374">
        <f>SUM(A48+P48-S48-U48-X48)</f>
        <v>150</v>
      </c>
      <c r="N48" s="375">
        <f>SUM(H48-M48)</f>
        <v>0</v>
      </c>
      <c r="O48" s="336"/>
      <c r="P48" s="311">
        <v>0</v>
      </c>
      <c r="Q48" s="337">
        <v>0</v>
      </c>
      <c r="R48" s="313"/>
      <c r="S48" s="338">
        <v>7</v>
      </c>
      <c r="T48" s="337">
        <v>0</v>
      </c>
      <c r="U48" s="339">
        <v>1</v>
      </c>
      <c r="V48" s="337">
        <v>0</v>
      </c>
      <c r="W48" s="316"/>
      <c r="X48" s="147">
        <v>1</v>
      </c>
      <c r="Y48" s="336"/>
      <c r="Z48" s="340">
        <v>69</v>
      </c>
      <c r="AA48" s="331">
        <v>15</v>
      </c>
      <c r="AB48" s="333"/>
      <c r="AC48" s="341">
        <v>0</v>
      </c>
      <c r="AD48" s="337">
        <v>14</v>
      </c>
      <c r="AE48" s="147">
        <v>69</v>
      </c>
      <c r="AF48" s="333"/>
    </row>
    <row r="49" spans="1:32" s="162" customFormat="1" ht="12.75" customHeight="1" x14ac:dyDescent="0.2">
      <c r="A49" s="216"/>
      <c r="B49" s="217"/>
      <c r="C49" s="218"/>
      <c r="D49" s="219"/>
      <c r="E49" s="146"/>
      <c r="F49" s="146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223"/>
      <c r="AF49" s="217"/>
    </row>
    <row r="50" spans="1:32" s="344" customFormat="1" ht="27.75" customHeight="1" x14ac:dyDescent="0.2">
      <c r="A50" s="330">
        <v>118</v>
      </c>
      <c r="B50" s="331">
        <v>1</v>
      </c>
      <c r="C50" s="332"/>
      <c r="D50" s="228" t="s">
        <v>68</v>
      </c>
      <c r="E50" s="147">
        <v>4</v>
      </c>
      <c r="F50" s="147">
        <v>4</v>
      </c>
      <c r="G50" s="186"/>
      <c r="H50" s="330">
        <v>116</v>
      </c>
      <c r="I50" s="331">
        <v>2</v>
      </c>
      <c r="J50" s="333"/>
      <c r="K50" s="230">
        <f>H50-A50</f>
        <v>-2</v>
      </c>
      <c r="L50" s="390">
        <f>SUM(K50/A50*100)</f>
        <v>-1.6949152542372881</v>
      </c>
      <c r="M50" s="374">
        <f>SUM(A50+P50-S50-U50-X50)</f>
        <v>117</v>
      </c>
      <c r="N50" s="375">
        <f>SUM(H50-M50)</f>
        <v>-1</v>
      </c>
      <c r="O50" s="336"/>
      <c r="P50" s="311">
        <v>0</v>
      </c>
      <c r="Q50" s="337">
        <v>0</v>
      </c>
      <c r="R50" s="313"/>
      <c r="S50" s="338">
        <v>1</v>
      </c>
      <c r="T50" s="337">
        <v>0</v>
      </c>
      <c r="U50" s="339">
        <v>0</v>
      </c>
      <c r="V50" s="337">
        <v>0</v>
      </c>
      <c r="W50" s="316"/>
      <c r="X50" s="147">
        <v>0</v>
      </c>
      <c r="Y50" s="336"/>
      <c r="Z50" s="340">
        <v>62</v>
      </c>
      <c r="AA50" s="331">
        <v>14</v>
      </c>
      <c r="AB50" s="333"/>
      <c r="AC50" s="345">
        <v>0</v>
      </c>
      <c r="AD50" s="337">
        <v>7</v>
      </c>
      <c r="AE50" s="147">
        <v>43</v>
      </c>
      <c r="AF50" s="333"/>
    </row>
    <row r="51" spans="1:32" s="162" customFormat="1" ht="12.75" customHeight="1" x14ac:dyDescent="0.2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162" customFormat="1" ht="21.75" customHeight="1" x14ac:dyDescent="0.2">
      <c r="A52" s="274">
        <f>SUM(A50,A48,A46,A44,A40)</f>
        <v>827</v>
      </c>
      <c r="B52" s="275">
        <f>SUM(B50,B48,B46,B44,B40)</f>
        <v>64</v>
      </c>
      <c r="C52" s="212"/>
      <c r="D52" s="276" t="s">
        <v>66</v>
      </c>
      <c r="E52" s="277">
        <f>SUM(E50,E48,E46,E44,E40)</f>
        <v>31</v>
      </c>
      <c r="F52" s="277">
        <f>SUM(F50,F48,F46,F44,F40)</f>
        <v>31</v>
      </c>
      <c r="G52" s="213"/>
      <c r="H52" s="274">
        <f>SUM(H50,H48,H46,H44,H40)</f>
        <v>817</v>
      </c>
      <c r="I52" s="275">
        <f>SUM(I50,I48,I46,I44,I40)</f>
        <v>65</v>
      </c>
      <c r="J52" s="214"/>
      <c r="K52" s="278">
        <f>H52-A52</f>
        <v>-10</v>
      </c>
      <c r="L52" s="382">
        <f>SUM(K52/A52*100)</f>
        <v>-1.2091898428053205</v>
      </c>
      <c r="M52" s="376">
        <f>SUM(A52+P52-S52-U52-X52)</f>
        <v>819</v>
      </c>
      <c r="N52" s="375">
        <f>SUM(H52-M52)</f>
        <v>-2</v>
      </c>
      <c r="O52" s="215"/>
      <c r="P52" s="279">
        <f>SUM(P50,P48,P46,P44,P40)</f>
        <v>6</v>
      </c>
      <c r="Q52" s="280">
        <f>SUM(Q50,Q48,Q46,Q44,Q40)</f>
        <v>0</v>
      </c>
      <c r="R52" s="281"/>
      <c r="S52" s="282">
        <f>SUM(S50,S48,S46,S44,S40)</f>
        <v>10</v>
      </c>
      <c r="T52" s="280">
        <f>SUM(T50,T48,T46,T44,T40)</f>
        <v>0</v>
      </c>
      <c r="U52" s="283">
        <f>SUM(U50,U48,U46,U44,U40)</f>
        <v>3</v>
      </c>
      <c r="V52" s="280">
        <f>SUM(V50,V48,V46,V44,V40)</f>
        <v>0</v>
      </c>
      <c r="W52" s="284"/>
      <c r="X52" s="277">
        <f>SUM(X50,X48,X46,X44,X40)</f>
        <v>1</v>
      </c>
      <c r="Y52" s="215"/>
      <c r="Z52" s="285">
        <f>SUM(Z40,Z44,Z46,Z48,Z50)/5</f>
        <v>62.3</v>
      </c>
      <c r="AA52" s="275">
        <f>SUM(AA40,AA44,AA46,AA48,AA50)/5</f>
        <v>12.7</v>
      </c>
      <c r="AB52" s="214"/>
      <c r="AC52" s="285">
        <f>SUM(AC40,AC44,AC46,AC48,AC50)/1</f>
        <v>38</v>
      </c>
      <c r="AD52" s="324">
        <f>SUM(AD42,AD46,AD48,AD50)/4</f>
        <v>8.75</v>
      </c>
      <c r="AE52" s="275">
        <f>SUM(AE40,AE44,AE46,AE48,AE50)/5</f>
        <v>37.4</v>
      </c>
      <c r="AF52" s="214"/>
    </row>
    <row r="53" spans="1:32" ht="10.5" customHeight="1" x14ac:dyDescent="0.2">
      <c r="A53" s="346"/>
      <c r="B53" s="206"/>
      <c r="C53" s="183"/>
      <c r="D53" s="347"/>
      <c r="E53" s="348"/>
      <c r="F53" s="348"/>
      <c r="G53" s="186"/>
      <c r="H53" s="346"/>
      <c r="I53" s="206"/>
      <c r="J53" s="187"/>
      <c r="K53" s="349"/>
      <c r="L53" s="350"/>
      <c r="M53" s="364"/>
      <c r="N53" s="364"/>
      <c r="O53" s="261"/>
      <c r="P53" s="351"/>
      <c r="Q53" s="201"/>
      <c r="R53" s="202"/>
      <c r="S53" s="206"/>
      <c r="T53" s="201"/>
      <c r="U53" s="352"/>
      <c r="V53" s="201"/>
      <c r="W53" s="202"/>
      <c r="X53" s="201"/>
      <c r="Y53" s="175"/>
      <c r="Z53" s="206"/>
      <c r="AA53" s="206"/>
      <c r="AB53" s="187"/>
      <c r="AC53" s="201"/>
      <c r="AD53" s="201"/>
      <c r="AE53" s="201"/>
      <c r="AF53" s="187"/>
    </row>
    <row r="54" spans="1:32" s="162" customFormat="1" ht="12.75" customHeight="1" thickBot="1" x14ac:dyDescent="0.25">
      <c r="A54" s="216"/>
      <c r="B54" s="217"/>
      <c r="C54" s="218"/>
      <c r="D54" s="219"/>
      <c r="E54" s="146"/>
      <c r="F54" s="146"/>
      <c r="G54" s="219"/>
      <c r="H54" s="216"/>
      <c r="I54" s="217"/>
      <c r="J54" s="217"/>
      <c r="K54" s="220"/>
      <c r="L54" s="221"/>
      <c r="M54" s="362"/>
      <c r="N54" s="362"/>
      <c r="O54" s="222"/>
      <c r="P54" s="223"/>
      <c r="Q54" s="223"/>
      <c r="R54" s="224"/>
      <c r="S54" s="217"/>
      <c r="T54" s="223"/>
      <c r="U54" s="225"/>
      <c r="V54" s="223"/>
      <c r="W54" s="224"/>
      <c r="X54" s="223"/>
      <c r="Y54" s="222"/>
      <c r="Z54" s="217"/>
      <c r="AA54" s="221"/>
      <c r="AB54" s="217"/>
      <c r="AC54" s="223"/>
      <c r="AD54" s="223"/>
      <c r="AE54" s="223"/>
      <c r="AF54" s="217"/>
    </row>
    <row r="55" spans="1:32" s="252" customFormat="1" ht="22.5" customHeight="1" thickBot="1" x14ac:dyDescent="0.25">
      <c r="A55" s="157">
        <f>SUM(A50,A48,A46,A44,A40,A38,A32,A30)</f>
        <v>8698</v>
      </c>
      <c r="B55" s="158">
        <f>SUM(B50,B48,B46,B44,B40,B38,B32,B30)</f>
        <v>714</v>
      </c>
      <c r="C55" s="245"/>
      <c r="D55" s="117" t="s">
        <v>90</v>
      </c>
      <c r="E55" s="158">
        <f>SUM(E50,E48,E46,E44,E40,E38,E32,E30)</f>
        <v>309</v>
      </c>
      <c r="F55" s="158"/>
      <c r="G55" s="148"/>
      <c r="H55" s="157">
        <f>SUM(H50,H48,H46,H44,H40,H38,H32,H30)</f>
        <v>8529</v>
      </c>
      <c r="I55" s="158">
        <f>SUM(I50,I48,I46,I44,I40,I38,I32,I30)</f>
        <v>709</v>
      </c>
      <c r="J55" s="246"/>
      <c r="K55" s="384">
        <f>SUM(K50,K48,K46,K44,K40,K38,K32,K30)</f>
        <v>-169</v>
      </c>
      <c r="L55" s="386">
        <f>SUM(K55/A55*100)</f>
        <v>-1.9429753966429062</v>
      </c>
      <c r="M55" s="385">
        <f>SUM(A55+P55-S55-U55-X55)</f>
        <v>8526</v>
      </c>
      <c r="N55" s="375">
        <f>SUM(H55-M55)</f>
        <v>3</v>
      </c>
      <c r="O55" s="247"/>
      <c r="P55" s="157">
        <f>SUM(P50,P48,P46,P44,P40,P38,P32,P30)</f>
        <v>48</v>
      </c>
      <c r="Q55" s="159">
        <f>SUM(Q50,Q48,Q46,Q44,Q40,Q38,Q32,Q30)</f>
        <v>0</v>
      </c>
      <c r="R55" s="129" t="s">
        <v>0</v>
      </c>
      <c r="S55" s="159">
        <f>SUM(S50,S48,S46,S44,S40,S38,S32,S30)</f>
        <v>107</v>
      </c>
      <c r="T55" s="159">
        <f>SUM(T50,T48,T46,T44,T40,T38,T32,T30)</f>
        <v>0</v>
      </c>
      <c r="U55" s="159">
        <f>SUM(U50,U48,U46,U44,U40,U38,U32,U30)</f>
        <v>86</v>
      </c>
      <c r="V55" s="159">
        <f>SUM(V50,V48,V46,V44,V40,V38,V32,V30)</f>
        <v>0</v>
      </c>
      <c r="W55" s="129" t="s">
        <v>0</v>
      </c>
      <c r="X55" s="158">
        <f>SUM(X50,X48,X46,X44,X40,X38,X32,X30)</f>
        <v>27</v>
      </c>
      <c r="Y55" s="247"/>
      <c r="Z55" s="248">
        <f>SUM(Z52,Z38,Z32,Z30)/4</f>
        <v>69.723026315789468</v>
      </c>
      <c r="AA55" s="250">
        <f>SUM(AA52,AA38,AA32,AA30)/4</f>
        <v>18.201315789473686</v>
      </c>
      <c r="AB55" s="246"/>
      <c r="AC55" s="248">
        <v>51</v>
      </c>
      <c r="AD55" s="249">
        <f>SUM(AD52,AD38,AD32,AD30)/4</f>
        <v>18.284722222222221</v>
      </c>
      <c r="AE55" s="250">
        <f>SUM(AE52,AE38,AE30,AE32)/4</f>
        <v>61.836111111111109</v>
      </c>
      <c r="AF55" s="251"/>
    </row>
    <row r="56" spans="1:32" s="166" customFormat="1" x14ac:dyDescent="0.2">
      <c r="A56" s="253"/>
      <c r="B56" s="254"/>
      <c r="C56" s="255"/>
      <c r="D56" s="256"/>
      <c r="E56" s="254"/>
      <c r="F56" s="256"/>
      <c r="G56" s="257"/>
      <c r="H56" s="253"/>
      <c r="I56" s="258"/>
      <c r="J56" s="258"/>
      <c r="K56" s="259" t="s">
        <v>30</v>
      </c>
      <c r="L56" s="260" t="s">
        <v>0</v>
      </c>
      <c r="M56" s="364"/>
      <c r="N56" s="364"/>
      <c r="O56" s="261"/>
      <c r="P56" s="262"/>
      <c r="Q56" s="262"/>
      <c r="R56" s="262"/>
      <c r="S56" s="262"/>
      <c r="T56" s="262"/>
      <c r="U56" s="262"/>
      <c r="V56" s="262"/>
      <c r="W56" s="262"/>
      <c r="X56" s="262"/>
      <c r="Y56" s="261"/>
      <c r="Z56" s="253" t="s">
        <v>31</v>
      </c>
      <c r="AA56" s="263" t="s">
        <v>31</v>
      </c>
      <c r="AB56" s="258"/>
      <c r="AC56" s="392" t="s">
        <v>32</v>
      </c>
      <c r="AD56" s="392"/>
      <c r="AE56" s="392"/>
      <c r="AF56" s="258"/>
    </row>
    <row r="57" spans="1:32" s="166" customFormat="1" x14ac:dyDescent="0.2">
      <c r="A57" s="253"/>
      <c r="B57" s="254"/>
      <c r="C57" s="254"/>
      <c r="D57" s="256"/>
      <c r="E57" s="254" t="s">
        <v>0</v>
      </c>
      <c r="F57" s="256"/>
      <c r="G57" s="256"/>
      <c r="H57" s="253"/>
      <c r="I57" s="258"/>
      <c r="J57" s="258"/>
      <c r="K57" s="721" t="s">
        <v>33</v>
      </c>
      <c r="L57" s="721"/>
      <c r="M57" s="364"/>
      <c r="N57" s="364"/>
      <c r="O57" s="261"/>
      <c r="P57" s="262"/>
      <c r="Q57" s="262"/>
      <c r="R57" s="262"/>
      <c r="S57" s="262"/>
      <c r="T57" s="262"/>
      <c r="U57" s="262"/>
      <c r="V57" s="262"/>
      <c r="W57" s="262"/>
      <c r="X57" s="262"/>
      <c r="Y57" s="261"/>
      <c r="Z57" s="264"/>
      <c r="AA57" s="263"/>
      <c r="AB57" s="258"/>
      <c r="AC57" s="391" t="s">
        <v>0</v>
      </c>
      <c r="AD57" s="265"/>
      <c r="AE57" s="265"/>
      <c r="AF57" s="258"/>
    </row>
    <row r="58" spans="1:32" x14ac:dyDescent="0.2">
      <c r="E58" s="161" t="s">
        <v>0</v>
      </c>
      <c r="H58" s="161" t="s">
        <v>0</v>
      </c>
      <c r="K58" s="266" t="s">
        <v>0</v>
      </c>
    </row>
    <row r="59" spans="1:32" x14ac:dyDescent="0.2">
      <c r="E59" s="161" t="s">
        <v>0</v>
      </c>
    </row>
    <row r="60" spans="1:32" x14ac:dyDescent="0.2">
      <c r="E60" s="161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8" ma:contentTypeDescription="Create a new document." ma:contentTypeScope="" ma:versionID="d9d034dac58c58793c9dcfdef6a1897e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fcca4d57cec216e04e9bce935fc2cdc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customXml/itemProps2.xml><?xml version="1.0" encoding="utf-8"?>
<ds:datastoreItem xmlns:ds="http://schemas.openxmlformats.org/officeDocument/2006/customXml" ds:itemID="{355FFB55-4FF7-4160-A305-48589D9DB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Assoc 1.4.22-30.6.22</vt:lpstr>
      <vt:lpstr>Assoc 1.2.21-31.3.22</vt:lpstr>
      <vt:lpstr>Assoc 1.4.21-31.12.31</vt:lpstr>
      <vt:lpstr>Assoc 1.4.21-30.9.21</vt:lpstr>
      <vt:lpstr>Assoc Stats 1.4.21-30.06.21</vt:lpstr>
      <vt:lpstr>Assoc Stats 1.4.20-31.03.21</vt:lpstr>
      <vt:lpstr>Assoc Stats 1.4.20-31.12.20</vt:lpstr>
      <vt:lpstr>Assoc Stats 1.4.20-30.09.20</vt:lpstr>
      <vt:lpstr>Assoc Stats 1.4.20-16.6.20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2022-07-19T15:47:26Z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